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utdoor Rec Dept\Gun Range\RFQ Package\"/>
    </mc:Choice>
  </mc:AlternateContent>
  <xr:revisionPtr revIDLastSave="0" documentId="8_{A556F89D-C338-40E0-A488-1EFC1FB3674F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CVA projections" sheetId="1" r:id="rId1"/>
    <sheet name="Staff projec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 l="1"/>
  <c r="K53" i="2"/>
  <c r="K56" i="2"/>
  <c r="K57" i="2"/>
  <c r="M19" i="2"/>
  <c r="M20" i="2"/>
  <c r="M21" i="2"/>
  <c r="L31" i="2" s="1"/>
  <c r="M22" i="2"/>
  <c r="M23" i="2"/>
  <c r="F27" i="2"/>
  <c r="F29" i="2" s="1"/>
  <c r="D61" i="2"/>
  <c r="E60" i="2"/>
  <c r="F59" i="2"/>
  <c r="E59" i="2"/>
  <c r="E58" i="2"/>
  <c r="F57" i="2"/>
  <c r="E57" i="2"/>
  <c r="E56" i="2"/>
  <c r="E55" i="2"/>
  <c r="F54" i="2"/>
  <c r="E54" i="2"/>
  <c r="E53" i="2"/>
  <c r="E52" i="2"/>
  <c r="F51" i="2"/>
  <c r="E51" i="2"/>
  <c r="E50" i="2"/>
  <c r="F49" i="2"/>
  <c r="E49" i="2"/>
  <c r="F43" i="2"/>
  <c r="F44" i="2" s="1"/>
  <c r="C12" i="2" s="1"/>
  <c r="L41" i="2"/>
  <c r="F38" i="2"/>
  <c r="L38" i="2"/>
  <c r="L40" i="2" s="1"/>
  <c r="L42" i="2" s="1"/>
  <c r="L43" i="2" s="1"/>
  <c r="M37" i="2"/>
  <c r="F36" i="2"/>
  <c r="M36" i="2"/>
  <c r="M35" i="2"/>
  <c r="L28" i="2"/>
  <c r="F28" i="2"/>
  <c r="L25" i="2"/>
  <c r="L27" i="2" s="1"/>
  <c r="L29" i="2" s="1"/>
  <c r="L30" i="2" s="1"/>
  <c r="F25" i="2"/>
  <c r="N24" i="2"/>
  <c r="N23" i="2"/>
  <c r="N22" i="2"/>
  <c r="N21" i="2"/>
  <c r="N20" i="2"/>
  <c r="N19" i="2"/>
  <c r="F17" i="2"/>
  <c r="F60" i="2" s="1"/>
  <c r="K15" i="2"/>
  <c r="C20" i="2" s="1"/>
  <c r="K58" i="2" l="1"/>
  <c r="K59" i="2"/>
  <c r="K55" i="2"/>
  <c r="K49" i="2"/>
  <c r="K54" i="2"/>
  <c r="K52" i="2"/>
  <c r="K51" i="2"/>
  <c r="K60" i="2"/>
  <c r="K50" i="2"/>
  <c r="F31" i="2"/>
  <c r="F35" i="2" s="1"/>
  <c r="F37" i="2" s="1"/>
  <c r="F39" i="2" s="1"/>
  <c r="I52" i="2" s="1"/>
  <c r="J52" i="2" s="1"/>
  <c r="F50" i="2"/>
  <c r="F55" i="2"/>
  <c r="F56" i="2"/>
  <c r="F53" i="2"/>
  <c r="F58" i="2"/>
  <c r="F52" i="2"/>
  <c r="F33" i="1"/>
  <c r="F14" i="1"/>
  <c r="L37" i="1" s="1"/>
  <c r="F25" i="1"/>
  <c r="I54" i="2" l="1"/>
  <c r="J54" i="2" s="1"/>
  <c r="I51" i="2"/>
  <c r="J51" i="2" s="1"/>
  <c r="I53" i="2"/>
  <c r="J53" i="2" s="1"/>
  <c r="I56" i="2"/>
  <c r="J56" i="2" s="1"/>
  <c r="I60" i="2"/>
  <c r="J60" i="2" s="1"/>
  <c r="I57" i="2"/>
  <c r="J57" i="2" s="1"/>
  <c r="I50" i="2"/>
  <c r="J50" i="2" s="1"/>
  <c r="I55" i="2"/>
  <c r="J55" i="2" s="1"/>
  <c r="I49" i="2"/>
  <c r="I59" i="2"/>
  <c r="J59" i="2" s="1"/>
  <c r="I58" i="2"/>
  <c r="J58" i="2" s="1"/>
  <c r="K61" i="2"/>
  <c r="C21" i="2" s="1"/>
  <c r="F46" i="1"/>
  <c r="L25" i="1"/>
  <c r="I61" i="2" l="1"/>
  <c r="C13" i="2" s="1"/>
  <c r="C32" i="2" s="1"/>
  <c r="C34" i="2" s="1"/>
  <c r="J49" i="2"/>
  <c r="K12" i="1"/>
  <c r="C17" i="1" s="1"/>
  <c r="F40" i="1"/>
  <c r="F41" i="1" s="1"/>
  <c r="C9" i="1" s="1"/>
  <c r="F57" i="1"/>
  <c r="F56" i="1"/>
  <c r="F55" i="1"/>
  <c r="F54" i="1"/>
  <c r="F53" i="1"/>
  <c r="F52" i="1"/>
  <c r="F51" i="1"/>
  <c r="F50" i="1"/>
  <c r="F49" i="1"/>
  <c r="F48" i="1"/>
  <c r="F47" i="1"/>
  <c r="E57" i="1"/>
  <c r="E56" i="1"/>
  <c r="E55" i="1"/>
  <c r="E54" i="1"/>
  <c r="E53" i="1"/>
  <c r="E52" i="1"/>
  <c r="E51" i="1"/>
  <c r="E50" i="1"/>
  <c r="E49" i="1"/>
  <c r="E48" i="1"/>
  <c r="E47" i="1"/>
  <c r="E46" i="1"/>
  <c r="L34" i="1"/>
  <c r="L36" i="1" s="1"/>
  <c r="M33" i="1"/>
  <c r="M32" i="1"/>
  <c r="M31" i="1"/>
  <c r="L22" i="1"/>
  <c r="L24" i="1" s="1"/>
  <c r="M21" i="1"/>
  <c r="M20" i="1"/>
  <c r="M19" i="1"/>
  <c r="M18" i="1"/>
  <c r="M17" i="1"/>
  <c r="M16" i="1"/>
  <c r="F35" i="1"/>
  <c r="F22" i="1"/>
  <c r="F26" i="1"/>
  <c r="D58" i="1"/>
  <c r="C16" i="2" l="1"/>
  <c r="C36" i="2" s="1"/>
  <c r="L26" i="1"/>
  <c r="L27" i="1" s="1"/>
  <c r="L38" i="1"/>
  <c r="L39" i="1" s="1"/>
  <c r="K47" i="1" s="1"/>
  <c r="F28" i="1"/>
  <c r="F32" i="1" s="1"/>
  <c r="F34" i="1" s="1"/>
  <c r="F36" i="1" s="1"/>
  <c r="I53" i="1" l="1"/>
  <c r="J53" i="1" s="1"/>
  <c r="I52" i="1"/>
  <c r="J52" i="1" s="1"/>
  <c r="I51" i="1"/>
  <c r="J51" i="1" s="1"/>
  <c r="I56" i="1"/>
  <c r="J56" i="1" s="1"/>
  <c r="I47" i="1"/>
  <c r="J47" i="1" s="1"/>
  <c r="I46" i="1"/>
  <c r="J46" i="1" s="1"/>
  <c r="I50" i="1"/>
  <c r="J50" i="1" s="1"/>
  <c r="I57" i="1"/>
  <c r="J57" i="1" s="1"/>
  <c r="I49" i="1"/>
  <c r="J49" i="1" s="1"/>
  <c r="I48" i="1"/>
  <c r="J48" i="1" s="1"/>
  <c r="I55" i="1"/>
  <c r="J55" i="1" s="1"/>
  <c r="I54" i="1"/>
  <c r="J54" i="1" s="1"/>
  <c r="K46" i="1"/>
  <c r="K56" i="1"/>
  <c r="K57" i="1"/>
  <c r="K55" i="1"/>
  <c r="K49" i="1"/>
  <c r="K48" i="1"/>
  <c r="K54" i="1"/>
  <c r="K50" i="1"/>
  <c r="K53" i="1"/>
  <c r="K52" i="1"/>
  <c r="K51" i="1"/>
  <c r="I58" i="1" l="1"/>
  <c r="C10" i="1" s="1"/>
  <c r="K58" i="1"/>
  <c r="C18" i="1" s="1"/>
  <c r="C13" i="1" l="1"/>
  <c r="C29" i="1"/>
  <c r="C31" i="1" s="1"/>
  <c r="C33" i="1" l="1"/>
</calcChain>
</file>

<file path=xl/sharedStrings.xml><?xml version="1.0" encoding="utf-8"?>
<sst xmlns="http://schemas.openxmlformats.org/spreadsheetml/2006/main" count="265" uniqueCount="115">
  <si>
    <t>Clear Creek County Shooting Sports Park</t>
  </si>
  <si>
    <t>Lanes</t>
  </si>
  <si>
    <t>Legal</t>
  </si>
  <si>
    <t>Accounting</t>
  </si>
  <si>
    <t>Utilities</t>
  </si>
  <si>
    <t>Day shooter fee, per person</t>
  </si>
  <si>
    <t>Days per week range open to public</t>
  </si>
  <si>
    <t>Daily operating hours</t>
  </si>
  <si>
    <t>8am - 6pm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</si>
  <si>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</si>
  <si>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</si>
  <si>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</si>
  <si>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</si>
  <si>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</si>
  <si>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</si>
  <si>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</si>
  <si>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</si>
  <si>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</si>
  <si>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</si>
  <si>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</si>
  <si>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</si>
  <si>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Avg. High Temp.</t>
  </si>
  <si>
    <t>Day-shooter visits, peak season</t>
  </si>
  <si>
    <t>Weekly day-shooter visits, peak season</t>
  </si>
  <si>
    <t>Weekend days</t>
  </si>
  <si>
    <t>Day shooters per weekend day</t>
  </si>
  <si>
    <t>Day shooters per week day</t>
  </si>
  <si>
    <t>Weekly income from day-shooter visits</t>
  </si>
  <si>
    <t>Annual member count</t>
  </si>
  <si>
    <t>Total day-shooter vists per week</t>
  </si>
  <si>
    <t>Annual membership fee</t>
  </si>
  <si>
    <t>Annual income - membership fees</t>
  </si>
  <si>
    <t>Convert weekly income to monthly</t>
  </si>
  <si>
    <t>Week days [reduce if range closed to public on certain days]</t>
  </si>
  <si>
    <t>Office manager</t>
  </si>
  <si>
    <t>Salary</t>
  </si>
  <si>
    <t>Hourly</t>
  </si>
  <si>
    <t>General Manager</t>
  </si>
  <si>
    <t>Office assistant</t>
  </si>
  <si>
    <t>RSO 1</t>
  </si>
  <si>
    <t>RSO 2</t>
  </si>
  <si>
    <t>RSO 3</t>
  </si>
  <si>
    <t>RSO 4</t>
  </si>
  <si>
    <t>Annual @ 2,080 hrs</t>
  </si>
  <si>
    <t>Income</t>
  </si>
  <si>
    <t>Annual memberships</t>
  </si>
  <si>
    <t>Day-shooter fees</t>
  </si>
  <si>
    <t>Education/room rental fees</t>
  </si>
  <si>
    <t>Personnel - fixed</t>
  </si>
  <si>
    <t>Personnel - variable</t>
  </si>
  <si>
    <t>IT systems</t>
  </si>
  <si>
    <t>Maintenance &amp; supplies</t>
  </si>
  <si>
    <t>IT support</t>
  </si>
  <si>
    <t>Environmental - sinking fund</t>
  </si>
  <si>
    <t>Calendar Days</t>
  </si>
  <si>
    <t>Calendar Weeks</t>
  </si>
  <si>
    <t>Operating Hrs/Wk</t>
  </si>
  <si>
    <t>Operating hours per week</t>
  </si>
  <si>
    <t>Season</t>
  </si>
  <si>
    <t>Non-peak</t>
  </si>
  <si>
    <t>Peak</t>
  </si>
  <si>
    <t>Weekly operating hours</t>
  </si>
  <si>
    <t>Monthly peronnel cost -variable</t>
  </si>
  <si>
    <t>Weekly peronnel cost -variable</t>
  </si>
  <si>
    <t>Variable Personnel Costs</t>
  </si>
  <si>
    <t>Hourly wages</t>
  </si>
  <si>
    <t>Burden (taxes, benefits)</t>
  </si>
  <si>
    <t>Total hourly cost</t>
  </si>
  <si>
    <t>Total income</t>
  </si>
  <si>
    <t>Monthly income from day-shooter visits, peak season</t>
  </si>
  <si>
    <t>Day-Shooter Fees</t>
  </si>
  <si>
    <t>Insurance</t>
  </si>
  <si>
    <t>Total expenses</t>
  </si>
  <si>
    <t>Net income (loss)</t>
  </si>
  <si>
    <t>Profit on merchandise sales</t>
  </si>
  <si>
    <t>Month</t>
  </si>
  <si>
    <t>Selected Data by Month</t>
  </si>
  <si>
    <t>Revenue-Related Assumptions</t>
  </si>
  <si>
    <t>Projected Statement of Operations</t>
  </si>
  <si>
    <t>Key assumptions highlighted in yellow</t>
  </si>
  <si>
    <t>Operating hours per day (open to public)</t>
  </si>
  <si>
    <t>Operating Assumptions</t>
  </si>
  <si>
    <t>Advertising, incl. website</t>
  </si>
  <si>
    <t>Business consulting (yrs 1-3)</t>
  </si>
  <si>
    <t>Day-shooter income, peak season</t>
  </si>
  <si>
    <t>Viable Days (1)</t>
  </si>
  <si>
    <t>Income and Expense Projections</t>
  </si>
  <si>
    <t>Credit card processing fees (3% of income)</t>
  </si>
  <si>
    <t>General and administrative</t>
  </si>
  <si>
    <t>Open items:</t>
  </si>
  <si>
    <t>Need analysis to support environmental sinking fund</t>
  </si>
  <si>
    <t>Need breakdown of retail sales</t>
  </si>
  <si>
    <t>(1)  Viable days is intended to estimate the number of days the range can be used.  The proportion of viable days to total days, in each month., feeds calculations for day-shooter fees and variable personnel costs</t>
  </si>
  <si>
    <t>Expenses</t>
  </si>
  <si>
    <r>
      <t xml:space="preserve">Weekly day-shooter visits on </t>
    </r>
    <r>
      <rPr>
        <u/>
        <sz val="12"/>
        <color theme="1"/>
        <rFont val="Calibri"/>
        <family val="2"/>
        <scheme val="minor"/>
      </rPr>
      <t>weekends</t>
    </r>
  </si>
  <si>
    <r>
      <t xml:space="preserve">Weekly day-shooter visits on </t>
    </r>
    <r>
      <rPr>
        <u/>
        <sz val="12"/>
        <color theme="1"/>
        <rFont val="Calibri"/>
        <family val="2"/>
        <scheme val="minor"/>
      </rPr>
      <t>weekdays</t>
    </r>
  </si>
  <si>
    <r>
      <t xml:space="preserve">Variable personnel costs - </t>
    </r>
    <r>
      <rPr>
        <i/>
        <u/>
        <sz val="12"/>
        <color theme="1"/>
        <rFont val="Calibri"/>
        <family val="2"/>
        <scheme val="minor"/>
      </rPr>
      <t>peak</t>
    </r>
    <r>
      <rPr>
        <i/>
        <sz val="12"/>
        <color theme="1"/>
        <rFont val="Calibri"/>
        <family val="2"/>
        <scheme val="minor"/>
      </rPr>
      <t xml:space="preserve"> season</t>
    </r>
  </si>
  <si>
    <r>
      <t xml:space="preserve">Variable personnel costs - </t>
    </r>
    <r>
      <rPr>
        <i/>
        <u/>
        <sz val="12"/>
        <color theme="1"/>
        <rFont val="Calibri"/>
        <family val="2"/>
        <scheme val="minor"/>
      </rPr>
      <t>non-peak</t>
    </r>
    <r>
      <rPr>
        <i/>
        <sz val="12"/>
        <color theme="1"/>
        <rFont val="Calibri"/>
        <family val="2"/>
        <scheme val="minor"/>
      </rPr>
      <t xml:space="preserve"> season</t>
    </r>
  </si>
  <si>
    <t>Fixed personnel costs</t>
  </si>
  <si>
    <t>Annual-membership income</t>
  </si>
  <si>
    <t>Day -Shooter Visits As A Percentage of "Peak-Season Shooter Visits"  (2)</t>
  </si>
  <si>
    <t>Need breakdown of maintenance costs</t>
  </si>
  <si>
    <t>Reasonableness Check:  Avg. Daily Day-Shooter Visits (Monthly Day Shooter Fees/Viable Days)</t>
  </si>
  <si>
    <t>(2)  Day-Shooter Visits As A Percentage of Peak-Season Shooter Visits is provided for illustration of projected demand.  These figures are applied to projections of day-shooter visits.</t>
  </si>
  <si>
    <t>Staffing-Cost Assumptions</t>
  </si>
  <si>
    <t>Prepared by Brian Dotterer - Modified by Lisa Leben w/CVA numbers</t>
  </si>
  <si>
    <t xml:space="preserve">Monthly @173 hours </t>
  </si>
  <si>
    <t xml:space="preserve">Minimum personnel cost </t>
  </si>
  <si>
    <t>Changes in staff projections</t>
  </si>
  <si>
    <t xml:space="preserve">Minimum variable personell costs imposed at one office manager and one RSO at all times.  </t>
  </si>
  <si>
    <t xml:space="preserve">Day shooter fee raised to $15 </t>
  </si>
  <si>
    <t xml:space="preserve">Day shooter per day reduced to 200 on weekends and 100 on weekdays </t>
  </si>
  <si>
    <t xml:space="preserve">Annual member count reduced to 800 </t>
  </si>
  <si>
    <t>One month average summer closure due to stage 2 fire restrictions projected</t>
  </si>
  <si>
    <t>Viable days and day shooter visits increased during winter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</si>
</sst>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  <numFmt numFmtId="168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6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6" fontId="0" fillId="0" borderId="0" xfId="0" applyNumberFormat="1" applyBorder="1"/>
    <xf numFmtId="0" fontId="1" fillId="0" borderId="0" xfId="0" applyFont="1" applyAlignment="1">
      <alignment horizontal="center"/>
    </xf>
    <xf numFmtId="0" fontId="0" fillId="0" borderId="1" xfId="0" applyBorder="1"/>
    <xf numFmtId="165" fontId="0" fillId="0" borderId="0" xfId="1" applyNumberFormat="1" applyFont="1"/>
    <xf numFmtId="0" fontId="0" fillId="0" borderId="2" xfId="0" applyBorder="1"/>
    <xf numFmtId="166" fontId="0" fillId="0" borderId="0" xfId="1" applyNumberFormat="1" applyFont="1"/>
    <xf numFmtId="167" fontId="0" fillId="0" borderId="0" xfId="2" applyNumberFormat="1" applyFont="1"/>
    <xf numFmtId="166" fontId="0" fillId="0" borderId="1" xfId="1" applyNumberFormat="1" applyFont="1" applyBorder="1"/>
    <xf numFmtId="0" fontId="0" fillId="2" borderId="0" xfId="0" applyFill="1"/>
    <xf numFmtId="165" fontId="0" fillId="2" borderId="0" xfId="1" applyNumberFormat="1" applyFont="1" applyFill="1"/>
    <xf numFmtId="167" fontId="0" fillId="0" borderId="2" xfId="2" applyNumberFormat="1" applyFont="1" applyBorder="1"/>
    <xf numFmtId="44" fontId="0" fillId="0" borderId="3" xfId="0" applyNumberFormat="1" applyBorder="1"/>
    <xf numFmtId="168" fontId="0" fillId="0" borderId="0" xfId="0" applyNumberFormat="1"/>
    <xf numFmtId="165" fontId="0" fillId="0" borderId="0" xfId="1" applyNumberFormat="1" applyFont="1" applyFill="1" applyBorder="1"/>
    <xf numFmtId="44" fontId="0" fillId="2" borderId="0" xfId="2" applyFont="1" applyFill="1"/>
    <xf numFmtId="167" fontId="0" fillId="2" borderId="0" xfId="2" applyNumberFormat="1" applyFont="1" applyFill="1"/>
    <xf numFmtId="167" fontId="0" fillId="0" borderId="0" xfId="0" applyNumberFormat="1"/>
    <xf numFmtId="0" fontId="0" fillId="0" borderId="0" xfId="0" applyFill="1"/>
    <xf numFmtId="9" fontId="0" fillId="0" borderId="0" xfId="3" applyFont="1" applyFill="1" applyBorder="1"/>
    <xf numFmtId="44" fontId="0" fillId="0" borderId="2" xfId="2" applyFont="1" applyBorder="1"/>
    <xf numFmtId="0" fontId="3" fillId="0" borderId="0" xfId="0" applyFont="1"/>
    <xf numFmtId="0" fontId="1" fillId="0" borderId="3" xfId="0" applyFont="1" applyBorder="1"/>
    <xf numFmtId="0" fontId="0" fillId="0" borderId="3" xfId="0" applyBorder="1" applyAlignment="1">
      <alignment horizontal="center" wrapText="1"/>
    </xf>
    <xf numFmtId="167" fontId="0" fillId="2" borderId="1" xfId="2" applyNumberFormat="1" applyFont="1" applyFill="1" applyBorder="1"/>
    <xf numFmtId="0" fontId="1" fillId="0" borderId="0" xfId="0" applyFont="1" applyBorder="1" applyAlignment="1"/>
    <xf numFmtId="0" fontId="0" fillId="0" borderId="0" xfId="0" applyBorder="1"/>
    <xf numFmtId="167" fontId="0" fillId="0" borderId="1" xfId="2" applyNumberFormat="1" applyFont="1" applyFill="1" applyBorder="1"/>
    <xf numFmtId="167" fontId="0" fillId="0" borderId="3" xfId="2" applyNumberFormat="1" applyFont="1" applyBorder="1"/>
    <xf numFmtId="0" fontId="0" fillId="2" borderId="1" xfId="0" applyFill="1" applyBorder="1"/>
    <xf numFmtId="9" fontId="0" fillId="2" borderId="0" xfId="3" applyFont="1" applyFill="1"/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6" xfId="0" applyFont="1" applyFill="1" applyBorder="1" applyAlignment="1"/>
    <xf numFmtId="0" fontId="1" fillId="4" borderId="4" xfId="0" applyFont="1" applyFill="1" applyBorder="1"/>
    <xf numFmtId="0" fontId="0" fillId="4" borderId="6" xfId="0" applyFill="1" applyBorder="1"/>
    <xf numFmtId="0" fontId="0" fillId="4" borderId="5" xfId="0" applyFill="1" applyBorder="1"/>
    <xf numFmtId="167" fontId="0" fillId="0" borderId="3" xfId="0" applyNumberFormat="1" applyBorder="1"/>
    <xf numFmtId="0" fontId="3" fillId="0" borderId="0" xfId="0" quotePrefix="1" applyFont="1"/>
    <xf numFmtId="165" fontId="0" fillId="2" borderId="1" xfId="1" applyNumberFormat="1" applyFont="1" applyFill="1" applyBorder="1"/>
    <xf numFmtId="167" fontId="0" fillId="0" borderId="0" xfId="2" applyNumberFormat="1" applyFont="1" applyBorder="1"/>
    <xf numFmtId="17" fontId="1" fillId="0" borderId="0" xfId="0" quotePrefix="1" applyNumberFormat="1" applyFont="1"/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4" fontId="0" fillId="0" borderId="0" xfId="0" applyNumberFormat="1"/>
    <xf numFmtId="0" fontId="6" fillId="0" borderId="0" xfId="0" applyFont="1"/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  <color rgb="FF163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5"/>
  <sheetViews>
    <sheetView tabSelected="1" topLeftCell="C1" zoomScaleNormal="100" workbookViewId="0">
      <selection activeCell="L18" sqref="L18"/>
    </sheetView>
  </sheetViews>
  <sheetFormatPr defaultColWidth="11.25" defaultRowHeight="15.75" x14ac:dyDescent="0.25"/>
  <cols>
    <col min="1" max="1" width="6.875" customWidth="1"/>
    <col min="2" max="2" width="35.75" customWidth="1"/>
    <col min="3" max="3" width="14.375" bestFit="1" customWidth="1"/>
    <col min="4" max="4" width="12.75" customWidth="1"/>
    <col min="5" max="5" width="14.5" bestFit="1" customWidth="1"/>
    <col min="7" max="7" width="52.125" bestFit="1" customWidth="1"/>
    <col min="8" max="8" width="12.75" customWidth="1"/>
    <col min="9" max="9" width="22.75" bestFit="1" customWidth="1"/>
    <col min="10" max="10" width="22.75" customWidth="1"/>
    <col min="12" max="12" width="8.75" bestFit="1" customWidth="1"/>
    <col min="13" max="13" width="17.75" bestFit="1" customWidth="1"/>
    <col min="14" max="15" width="52.125" customWidth="1"/>
    <col min="16" max="16" width="8.75" customWidth="1"/>
    <col min="17" max="17" width="15" customWidth="1"/>
    <col min="18" max="18" width="11.375" bestFit="1" customWidth="1"/>
    <col min="19" max="19" width="12.375" bestFit="1" customWidth="1"/>
    <col min="20" max="20" width="13.5" customWidth="1"/>
    <col min="21" max="21" width="11.25" customWidth="1"/>
    <col min="22" max="22" width="9.75" customWidth="1"/>
    <col min="23" max="24" width="11" customWidth="1"/>
    <col min="25" max="25" width="14.375" customWidth="1"/>
    <col min="27" max="27" width="15.5" customWidth="1"/>
    <col min="30" max="30" width="11.25" bestFit="1" customWidth="1"/>
    <col min="34" max="34" width="30.25" customWidth="1"/>
    <col min="35" max="35" width="11.875" bestFit="1" customWidth="1"/>
  </cols>
  <sheetData>
    <row r="1" spans="1:13" x14ac:dyDescent="0.25">
      <c r="A1" s="2" t="s">
        <v>0</v>
      </c>
      <c r="B1" s="2"/>
      <c r="D1" s="14" t="s">
        <v>79</v>
      </c>
      <c r="E1" s="14"/>
      <c r="F1" s="14"/>
    </row>
    <row r="2" spans="1:13" x14ac:dyDescent="0.25">
      <c r="A2" s="2" t="s">
        <v>86</v>
      </c>
    </row>
    <row r="3" spans="1:13" x14ac:dyDescent="0.25">
      <c r="A3" s="2" t="s">
        <v>105</v>
      </c>
    </row>
    <row r="4" spans="1:13" x14ac:dyDescent="0.25">
      <c r="A4" s="47">
        <v>44044</v>
      </c>
    </row>
    <row r="6" spans="1:13" x14ac:dyDescent="0.25">
      <c r="A6" s="40" t="s">
        <v>78</v>
      </c>
      <c r="B6" s="41"/>
      <c r="C6" s="42"/>
      <c r="F6" s="38" t="s">
        <v>81</v>
      </c>
      <c r="G6" s="39"/>
      <c r="H6" s="30"/>
      <c r="I6" s="53" t="s">
        <v>104</v>
      </c>
      <c r="J6" s="54"/>
      <c r="K6" s="54"/>
      <c r="L6" s="54"/>
      <c r="M6" s="55"/>
    </row>
    <row r="7" spans="1:13" x14ac:dyDescent="0.25">
      <c r="H7" s="31"/>
    </row>
    <row r="8" spans="1:13" x14ac:dyDescent="0.25">
      <c r="A8" t="s">
        <v>44</v>
      </c>
      <c r="F8">
        <v>56</v>
      </c>
      <c r="G8" t="s">
        <v>1</v>
      </c>
      <c r="H8" s="31"/>
      <c r="K8" s="27" t="s">
        <v>35</v>
      </c>
      <c r="L8" s="27" t="s">
        <v>36</v>
      </c>
      <c r="M8" s="27" t="s">
        <v>43</v>
      </c>
    </row>
    <row r="9" spans="1:13" x14ac:dyDescent="0.25">
      <c r="B9" t="s">
        <v>45</v>
      </c>
      <c r="C9" s="22">
        <f>F41</f>
        <v>109800</v>
      </c>
      <c r="F9" s="21">
        <v>12</v>
      </c>
      <c r="G9" t="s">
        <v>5</v>
      </c>
      <c r="H9" s="31"/>
      <c r="I9" s="26" t="s">
        <v>98</v>
      </c>
      <c r="J9" s="26"/>
    </row>
    <row r="10" spans="1:13" x14ac:dyDescent="0.25">
      <c r="B10" t="s">
        <v>46</v>
      </c>
      <c r="C10" s="9">
        <f>I58</f>
        <v>352550.94981377438</v>
      </c>
      <c r="F10" s="29">
        <v>120</v>
      </c>
      <c r="G10" t="s">
        <v>30</v>
      </c>
      <c r="H10" s="31"/>
      <c r="I10" s="14" t="s">
        <v>37</v>
      </c>
      <c r="J10" s="14"/>
      <c r="K10" s="21">
        <v>60000</v>
      </c>
    </row>
    <row r="11" spans="1:13" x14ac:dyDescent="0.25">
      <c r="B11" t="s">
        <v>47</v>
      </c>
      <c r="C11" s="15">
        <v>27500</v>
      </c>
      <c r="F11" s="14">
        <v>5</v>
      </c>
      <c r="G11" t="s">
        <v>6</v>
      </c>
      <c r="H11" s="31"/>
      <c r="I11" s="23" t="s">
        <v>66</v>
      </c>
      <c r="J11" s="23"/>
      <c r="K11" s="24">
        <v>0.2</v>
      </c>
    </row>
    <row r="12" spans="1:13" x14ac:dyDescent="0.25">
      <c r="B12" t="s">
        <v>74</v>
      </c>
      <c r="C12" s="45">
        <v>17217</v>
      </c>
      <c r="F12" t="s">
        <v>8</v>
      </c>
      <c r="G12" t="s">
        <v>7</v>
      </c>
      <c r="H12" s="31"/>
      <c r="I12" s="23" t="s">
        <v>67</v>
      </c>
      <c r="J12" s="23"/>
      <c r="K12" s="43">
        <f>K10*(1+K11)</f>
        <v>72000</v>
      </c>
    </row>
    <row r="13" spans="1:13" x14ac:dyDescent="0.25">
      <c r="B13" s="26" t="s">
        <v>68</v>
      </c>
      <c r="C13" s="22">
        <f>SUM(C9:C12)</f>
        <v>507067.94981377438</v>
      </c>
      <c r="F13" s="14">
        <v>8</v>
      </c>
      <c r="G13" t="s">
        <v>80</v>
      </c>
      <c r="H13" s="31"/>
    </row>
    <row r="14" spans="1:13" x14ac:dyDescent="0.25">
      <c r="F14" s="23">
        <f>F11*F13</f>
        <v>40</v>
      </c>
      <c r="G14" t="s">
        <v>57</v>
      </c>
      <c r="H14" s="31"/>
    </row>
    <row r="15" spans="1:13" x14ac:dyDescent="0.25">
      <c r="H15" s="31"/>
      <c r="I15" s="26" t="s">
        <v>96</v>
      </c>
      <c r="J15" s="26"/>
    </row>
    <row r="16" spans="1:13" x14ac:dyDescent="0.25">
      <c r="A16" t="s">
        <v>93</v>
      </c>
      <c r="H16" s="30"/>
      <c r="I16" s="14" t="s">
        <v>34</v>
      </c>
      <c r="J16" s="14"/>
      <c r="L16" s="20">
        <v>20</v>
      </c>
      <c r="M16" s="12">
        <f t="shared" ref="M16:M21" si="0">L16*2080</f>
        <v>41600</v>
      </c>
    </row>
    <row r="17" spans="2:31" x14ac:dyDescent="0.25">
      <c r="B17" t="s">
        <v>48</v>
      </c>
      <c r="C17" s="22">
        <f>K12</f>
        <v>72000</v>
      </c>
      <c r="F17" s="36" t="s">
        <v>77</v>
      </c>
      <c r="G17" s="37"/>
      <c r="I17" s="14" t="s">
        <v>38</v>
      </c>
      <c r="J17" s="14"/>
      <c r="L17" s="20">
        <v>15</v>
      </c>
      <c r="M17" s="12">
        <f t="shared" si="0"/>
        <v>31200</v>
      </c>
    </row>
    <row r="18" spans="2:31" x14ac:dyDescent="0.25">
      <c r="B18" t="s">
        <v>49</v>
      </c>
      <c r="C18" s="9">
        <f>K58</f>
        <v>145480.98310291857</v>
      </c>
      <c r="I18" s="14" t="s">
        <v>39</v>
      </c>
      <c r="J18" s="14"/>
      <c r="L18" s="20">
        <v>20</v>
      </c>
      <c r="M18" s="12">
        <f t="shared" si="0"/>
        <v>41600</v>
      </c>
    </row>
    <row r="19" spans="2:31" x14ac:dyDescent="0.25">
      <c r="B19" t="s">
        <v>51</v>
      </c>
      <c r="C19" s="15">
        <v>12000</v>
      </c>
      <c r="F19" s="26" t="s">
        <v>22</v>
      </c>
      <c r="I19" s="14" t="s">
        <v>40</v>
      </c>
      <c r="J19" s="14"/>
      <c r="L19" s="20">
        <v>15</v>
      </c>
      <c r="M19" s="12">
        <f t="shared" si="0"/>
        <v>31200</v>
      </c>
    </row>
    <row r="20" spans="2:31" x14ac:dyDescent="0.25">
      <c r="B20" t="s">
        <v>53</v>
      </c>
      <c r="C20" s="15">
        <v>48000</v>
      </c>
      <c r="F20" s="14">
        <v>244</v>
      </c>
      <c r="G20" t="s">
        <v>25</v>
      </c>
      <c r="I20" s="14" t="s">
        <v>41</v>
      </c>
      <c r="J20" s="14"/>
      <c r="L20" s="20">
        <v>15</v>
      </c>
      <c r="M20" s="12">
        <f t="shared" si="0"/>
        <v>31200</v>
      </c>
    </row>
    <row r="21" spans="2:31" x14ac:dyDescent="0.25">
      <c r="B21" t="s">
        <v>71</v>
      </c>
      <c r="C21" s="15">
        <v>7500</v>
      </c>
      <c r="F21" s="8">
        <v>2</v>
      </c>
      <c r="G21" t="s">
        <v>24</v>
      </c>
      <c r="I21" s="14" t="s">
        <v>42</v>
      </c>
      <c r="J21" s="14"/>
      <c r="L21" s="20">
        <v>15</v>
      </c>
      <c r="M21" s="12">
        <f t="shared" si="0"/>
        <v>31200</v>
      </c>
      <c r="AE21" s="4"/>
    </row>
    <row r="22" spans="2:31" x14ac:dyDescent="0.25">
      <c r="B22" t="s">
        <v>82</v>
      </c>
      <c r="C22" s="15">
        <v>12000</v>
      </c>
      <c r="F22">
        <f>F20*F21</f>
        <v>488</v>
      </c>
      <c r="G22" t="s">
        <v>94</v>
      </c>
      <c r="I22" t="s">
        <v>65</v>
      </c>
      <c r="L22" s="17">
        <f>SUM(L16:L21)</f>
        <v>100</v>
      </c>
      <c r="M22" s="12"/>
      <c r="AE22" s="4"/>
    </row>
    <row r="23" spans="2:31" x14ac:dyDescent="0.25">
      <c r="B23" t="s">
        <v>50</v>
      </c>
      <c r="C23" s="15">
        <v>8000</v>
      </c>
      <c r="I23" s="23" t="s">
        <v>66</v>
      </c>
      <c r="J23" s="23"/>
      <c r="L23" s="24">
        <v>0.2</v>
      </c>
      <c r="AE23" s="4"/>
    </row>
    <row r="24" spans="2:31" x14ac:dyDescent="0.25">
      <c r="B24" t="s">
        <v>52</v>
      </c>
      <c r="C24" s="15">
        <v>3000</v>
      </c>
      <c r="F24" s="14">
        <v>244</v>
      </c>
      <c r="G24" t="s">
        <v>26</v>
      </c>
      <c r="I24" s="23" t="s">
        <v>67</v>
      </c>
      <c r="J24" s="23"/>
      <c r="L24" s="17">
        <f>L22*(1+L23)</f>
        <v>120</v>
      </c>
      <c r="AE24" s="4"/>
    </row>
    <row r="25" spans="2:31" x14ac:dyDescent="0.25">
      <c r="B25" t="s">
        <v>3</v>
      </c>
      <c r="C25" s="15">
        <v>6000</v>
      </c>
      <c r="F25" s="8">
        <f>F11-F21</f>
        <v>3</v>
      </c>
      <c r="G25" t="s">
        <v>33</v>
      </c>
      <c r="I25" t="s">
        <v>61</v>
      </c>
      <c r="L25" s="19">
        <f>F14</f>
        <v>40</v>
      </c>
      <c r="AE25" s="4"/>
    </row>
    <row r="26" spans="2:31" x14ac:dyDescent="0.25">
      <c r="B26" t="s">
        <v>2</v>
      </c>
      <c r="C26" s="15">
        <v>3000</v>
      </c>
      <c r="F26">
        <f>F24*F25</f>
        <v>732</v>
      </c>
      <c r="G26" t="s">
        <v>95</v>
      </c>
      <c r="I26" t="s">
        <v>63</v>
      </c>
      <c r="L26" s="12">
        <f>L24*L25</f>
        <v>4800</v>
      </c>
      <c r="AE26" s="4"/>
    </row>
    <row r="27" spans="2:31" x14ac:dyDescent="0.25">
      <c r="B27" t="s">
        <v>88</v>
      </c>
      <c r="C27" s="15">
        <v>3000</v>
      </c>
      <c r="I27" t="s">
        <v>62</v>
      </c>
      <c r="L27" s="12">
        <f>L26*52/12</f>
        <v>20800</v>
      </c>
      <c r="AE27" s="4"/>
    </row>
    <row r="28" spans="2:31" ht="16.5" thickBot="1" x14ac:dyDescent="0.3">
      <c r="B28" t="s">
        <v>4</v>
      </c>
      <c r="C28" s="15">
        <v>6000</v>
      </c>
      <c r="F28" s="10">
        <f>F22+F26</f>
        <v>1220</v>
      </c>
      <c r="G28" t="s">
        <v>29</v>
      </c>
      <c r="O28" s="1"/>
      <c r="AE28" s="4"/>
    </row>
    <row r="29" spans="2:31" ht="16.5" thickTop="1" x14ac:dyDescent="0.25">
      <c r="B29" t="s">
        <v>87</v>
      </c>
      <c r="C29" s="9">
        <f>(C9+C10)*0.03</f>
        <v>13870.528494413231</v>
      </c>
      <c r="N29" s="1"/>
      <c r="AE29" s="4"/>
    </row>
    <row r="30" spans="2:31" x14ac:dyDescent="0.25">
      <c r="B30" t="s">
        <v>83</v>
      </c>
      <c r="C30" s="45">
        <v>20000</v>
      </c>
      <c r="I30" s="26" t="s">
        <v>97</v>
      </c>
      <c r="J30" s="26"/>
      <c r="AE30" s="4"/>
    </row>
    <row r="31" spans="2:31" x14ac:dyDescent="0.25">
      <c r="B31" t="s">
        <v>72</v>
      </c>
      <c r="C31" s="22">
        <f>SUM(C17:C30)</f>
        <v>359851.51159733185</v>
      </c>
      <c r="F31" s="26" t="s">
        <v>84</v>
      </c>
      <c r="I31" s="14" t="s">
        <v>34</v>
      </c>
      <c r="J31" s="14"/>
      <c r="L31" s="20">
        <v>20</v>
      </c>
      <c r="M31" s="12">
        <f>L31*2080</f>
        <v>41600</v>
      </c>
    </row>
    <row r="32" spans="2:31" x14ac:dyDescent="0.25">
      <c r="F32" s="9">
        <f>F28</f>
        <v>1220</v>
      </c>
      <c r="G32" t="s">
        <v>23</v>
      </c>
      <c r="I32" s="14" t="s">
        <v>39</v>
      </c>
      <c r="J32" s="14"/>
      <c r="L32" s="20">
        <v>20</v>
      </c>
      <c r="M32" s="12">
        <f>L32*2080</f>
        <v>41600</v>
      </c>
    </row>
    <row r="33" spans="1:21" ht="16.5" thickBot="1" x14ac:dyDescent="0.3">
      <c r="A33" t="s">
        <v>73</v>
      </c>
      <c r="C33" s="25">
        <f>C13-C31</f>
        <v>147216.43821644253</v>
      </c>
      <c r="F33" s="32">
        <f>F9</f>
        <v>12</v>
      </c>
      <c r="G33" t="s">
        <v>5</v>
      </c>
      <c r="I33" s="14" t="s">
        <v>40</v>
      </c>
      <c r="J33" s="14"/>
      <c r="L33" s="20">
        <v>15</v>
      </c>
      <c r="M33" s="12">
        <f>L33*2080</f>
        <v>31200</v>
      </c>
    </row>
    <row r="34" spans="1:21" ht="16.5" thickTop="1" x14ac:dyDescent="0.25">
      <c r="F34" s="12">
        <f>F32*F33</f>
        <v>14640</v>
      </c>
      <c r="G34" t="s">
        <v>27</v>
      </c>
      <c r="L34" s="17">
        <f>SUM(L31:L33)</f>
        <v>55</v>
      </c>
    </row>
    <row r="35" spans="1:21" x14ac:dyDescent="0.25">
      <c r="F35" s="13">
        <f>52/365*30.5</f>
        <v>4.3452054794520549</v>
      </c>
      <c r="G35" t="s">
        <v>32</v>
      </c>
      <c r="I35" s="23" t="s">
        <v>66</v>
      </c>
      <c r="J35" s="23"/>
      <c r="L35" s="24">
        <v>0.2</v>
      </c>
    </row>
    <row r="36" spans="1:21" x14ac:dyDescent="0.25">
      <c r="F36" s="33">
        <f>F34*F35</f>
        <v>63613.808219178085</v>
      </c>
      <c r="G36" t="s">
        <v>69</v>
      </c>
      <c r="I36" s="23" t="s">
        <v>67</v>
      </c>
      <c r="J36" s="23"/>
      <c r="L36" s="17">
        <f>L34*(1+L35)</f>
        <v>66</v>
      </c>
    </row>
    <row r="37" spans="1:21" x14ac:dyDescent="0.25">
      <c r="I37" t="s">
        <v>61</v>
      </c>
      <c r="L37" s="19">
        <f>F14</f>
        <v>40</v>
      </c>
      <c r="U37" s="1"/>
    </row>
    <row r="38" spans="1:21" x14ac:dyDescent="0.25">
      <c r="F38" s="26" t="s">
        <v>99</v>
      </c>
      <c r="I38" t="s">
        <v>63</v>
      </c>
      <c r="L38" s="12">
        <f>L36*L37</f>
        <v>2640</v>
      </c>
      <c r="U38" s="1"/>
    </row>
    <row r="39" spans="1:21" x14ac:dyDescent="0.25">
      <c r="F39" s="15">
        <v>915</v>
      </c>
      <c r="G39" t="s">
        <v>28</v>
      </c>
      <c r="I39" t="s">
        <v>62</v>
      </c>
      <c r="L39" s="12">
        <f>L38*52/12</f>
        <v>11440</v>
      </c>
    </row>
    <row r="40" spans="1:21" x14ac:dyDescent="0.25">
      <c r="F40" s="32">
        <f>F10</f>
        <v>120</v>
      </c>
      <c r="G40" t="s">
        <v>30</v>
      </c>
      <c r="U40" s="1"/>
    </row>
    <row r="41" spans="1:21" x14ac:dyDescent="0.25">
      <c r="F41" s="33">
        <f>F39*F40</f>
        <v>109800</v>
      </c>
      <c r="G41" t="s">
        <v>31</v>
      </c>
      <c r="U41" s="1"/>
    </row>
    <row r="42" spans="1:21" x14ac:dyDescent="0.25">
      <c r="U42" s="1"/>
    </row>
    <row r="43" spans="1:21" x14ac:dyDescent="0.25">
      <c r="U43" s="1"/>
    </row>
    <row r="44" spans="1:21" x14ac:dyDescent="0.25">
      <c r="A44" s="52" t="s">
        <v>76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U44" s="6"/>
    </row>
    <row r="45" spans="1:21" ht="64.150000000000006" customHeight="1" x14ac:dyDescent="0.25">
      <c r="A45" s="28" t="s">
        <v>75</v>
      </c>
      <c r="B45" s="28" t="s">
        <v>21</v>
      </c>
      <c r="C45" s="28" t="s">
        <v>54</v>
      </c>
      <c r="D45" s="28" t="s">
        <v>85</v>
      </c>
      <c r="E45" s="28" t="s">
        <v>55</v>
      </c>
      <c r="F45" s="28" t="s">
        <v>56</v>
      </c>
      <c r="G45" s="28" t="s">
        <v>100</v>
      </c>
      <c r="H45" s="28" t="s">
        <v>58</v>
      </c>
      <c r="I45" s="28" t="s">
        <v>70</v>
      </c>
      <c r="J45" s="28" t="s">
        <v>102</v>
      </c>
      <c r="K45" s="28" t="s">
        <v>64</v>
      </c>
      <c r="U45" s="5"/>
    </row>
    <row r="46" spans="1:21" x14ac:dyDescent="0.25">
      <c r="A46" t="s">
        <v>9</v>
      </c>
      <c r="B46" s="9">
        <v>27.193548387096776</v>
      </c>
      <c r="C46">
        <v>31</v>
      </c>
      <c r="D46" s="14">
        <v>10</v>
      </c>
      <c r="E46" s="9">
        <f t="shared" ref="E46:E51" si="1">C46/7</f>
        <v>4.4285714285714288</v>
      </c>
      <c r="F46" s="18">
        <f>D46/C46*$F$14</f>
        <v>12.903225806451612</v>
      </c>
      <c r="G46" s="35">
        <v>0.05</v>
      </c>
      <c r="H46" t="s">
        <v>59</v>
      </c>
      <c r="I46" s="12">
        <f>D46/C46*$F$36*G46</f>
        <v>1026.0291648254531</v>
      </c>
      <c r="J46" s="9">
        <f>I46/D46/12</f>
        <v>8.5502430402121092</v>
      </c>
      <c r="K46" s="12">
        <f>D46/C46*$L$39</f>
        <v>3690.322580645161</v>
      </c>
    </row>
    <row r="47" spans="1:21" x14ac:dyDescent="0.25">
      <c r="A47" t="s">
        <v>10</v>
      </c>
      <c r="B47" s="9">
        <v>28.493103448275861</v>
      </c>
      <c r="C47">
        <v>28</v>
      </c>
      <c r="D47" s="14">
        <v>10</v>
      </c>
      <c r="E47" s="11">
        <f t="shared" si="1"/>
        <v>4</v>
      </c>
      <c r="F47" s="18">
        <f t="shared" ref="F47:F51" si="2">D47/C47*$F$14</f>
        <v>14.285714285714286</v>
      </c>
      <c r="G47" s="35">
        <v>0.05</v>
      </c>
      <c r="H47" t="s">
        <v>59</v>
      </c>
      <c r="I47" s="12">
        <f t="shared" ref="I47:I57" si="3">D47/C47*$F$36*G47</f>
        <v>1135.9608610567516</v>
      </c>
      <c r="J47" s="9">
        <f t="shared" ref="J47:J57" si="4">I47/D47/12</f>
        <v>9.4663405088062635</v>
      </c>
      <c r="K47" s="12">
        <f>D47/C47*$L$39</f>
        <v>4085.7142857142858</v>
      </c>
      <c r="U47" s="3"/>
    </row>
    <row r="48" spans="1:21" x14ac:dyDescent="0.25">
      <c r="A48" t="s">
        <v>11</v>
      </c>
      <c r="B48" s="9">
        <v>34.193548387096776</v>
      </c>
      <c r="C48">
        <v>31</v>
      </c>
      <c r="D48" s="14">
        <v>15</v>
      </c>
      <c r="E48" s="11">
        <f t="shared" si="1"/>
        <v>4.4285714285714288</v>
      </c>
      <c r="F48" s="18">
        <f t="shared" si="2"/>
        <v>19.35483870967742</v>
      </c>
      <c r="G48" s="35">
        <v>0.08</v>
      </c>
      <c r="H48" t="s">
        <v>59</v>
      </c>
      <c r="I48" s="12">
        <f t="shared" si="3"/>
        <v>2462.469995581087</v>
      </c>
      <c r="J48" s="9">
        <f t="shared" si="4"/>
        <v>13.680388864339372</v>
      </c>
      <c r="K48" s="12">
        <f>D48/C48*$L$39</f>
        <v>5535.4838709677424</v>
      </c>
      <c r="P48" s="3"/>
    </row>
    <row r="49" spans="1:16" x14ac:dyDescent="0.25">
      <c r="A49" t="s">
        <v>12</v>
      </c>
      <c r="B49" s="9">
        <v>40.106666666666662</v>
      </c>
      <c r="C49">
        <v>30</v>
      </c>
      <c r="D49" s="14">
        <v>25</v>
      </c>
      <c r="E49" s="11">
        <f t="shared" si="1"/>
        <v>4.2857142857142856</v>
      </c>
      <c r="F49" s="18">
        <f t="shared" si="2"/>
        <v>33.333333333333336</v>
      </c>
      <c r="G49" s="35">
        <v>0.3</v>
      </c>
      <c r="H49" t="s">
        <v>59</v>
      </c>
      <c r="I49" s="12">
        <f t="shared" si="3"/>
        <v>15903.452054794521</v>
      </c>
      <c r="J49" s="9">
        <f t="shared" si="4"/>
        <v>53.011506849315076</v>
      </c>
      <c r="K49" s="12">
        <f>D49/C49*$L$39</f>
        <v>9533.3333333333339</v>
      </c>
      <c r="P49" s="7"/>
    </row>
    <row r="50" spans="1:16" x14ac:dyDescent="0.25">
      <c r="A50" t="s">
        <v>13</v>
      </c>
      <c r="B50" s="9">
        <v>49.703225806451613</v>
      </c>
      <c r="C50">
        <v>31</v>
      </c>
      <c r="D50" s="14">
        <v>31</v>
      </c>
      <c r="E50" s="11">
        <f t="shared" si="1"/>
        <v>4.4285714285714288</v>
      </c>
      <c r="F50" s="18">
        <f t="shared" si="2"/>
        <v>40</v>
      </c>
      <c r="G50" s="35">
        <v>0.85</v>
      </c>
      <c r="H50" t="s">
        <v>60</v>
      </c>
      <c r="I50" s="12">
        <f t="shared" si="3"/>
        <v>54071.736986301374</v>
      </c>
      <c r="J50" s="9">
        <f t="shared" si="4"/>
        <v>145.35413168360586</v>
      </c>
      <c r="K50" s="12">
        <f>D50/C50*$L$27</f>
        <v>20800</v>
      </c>
      <c r="P50" s="7"/>
    </row>
    <row r="51" spans="1:16" x14ac:dyDescent="0.25">
      <c r="A51" t="s">
        <v>14</v>
      </c>
      <c r="B51" s="9">
        <v>60.6</v>
      </c>
      <c r="C51">
        <v>30</v>
      </c>
      <c r="D51" s="14">
        <v>30</v>
      </c>
      <c r="E51" s="11">
        <f t="shared" si="1"/>
        <v>4.2857142857142856</v>
      </c>
      <c r="F51" s="18">
        <f t="shared" si="2"/>
        <v>40</v>
      </c>
      <c r="G51" s="35">
        <v>1</v>
      </c>
      <c r="H51" t="s">
        <v>60</v>
      </c>
      <c r="I51" s="12">
        <f t="shared" si="3"/>
        <v>63613.808219178085</v>
      </c>
      <c r="J51" s="9">
        <f t="shared" si="4"/>
        <v>176.70502283105023</v>
      </c>
      <c r="K51" s="12">
        <f>D51/C51*$L$27</f>
        <v>20800</v>
      </c>
      <c r="P51" s="7"/>
    </row>
    <row r="52" spans="1:16" x14ac:dyDescent="0.25">
      <c r="A52" t="s">
        <v>15</v>
      </c>
      <c r="B52" s="9">
        <v>66.100000000000009</v>
      </c>
      <c r="C52">
        <v>31</v>
      </c>
      <c r="D52" s="14">
        <v>31</v>
      </c>
      <c r="E52" s="11">
        <f t="shared" ref="E52:E57" si="5">C52/7</f>
        <v>4.4285714285714288</v>
      </c>
      <c r="F52" s="18">
        <f t="shared" ref="F52:F57" si="6">D52/C52*$F$14</f>
        <v>40</v>
      </c>
      <c r="G52" s="35">
        <v>1</v>
      </c>
      <c r="H52" t="s">
        <v>60</v>
      </c>
      <c r="I52" s="12">
        <f t="shared" si="3"/>
        <v>63613.808219178085</v>
      </c>
      <c r="J52" s="9">
        <f t="shared" si="4"/>
        <v>171.00486080424216</v>
      </c>
      <c r="K52" s="12">
        <f>D52/C52*$L$27</f>
        <v>20800</v>
      </c>
      <c r="P52" s="7"/>
    </row>
    <row r="53" spans="1:16" x14ac:dyDescent="0.25">
      <c r="A53" t="s">
        <v>16</v>
      </c>
      <c r="B53" s="9">
        <v>63.49354838709678</v>
      </c>
      <c r="C53">
        <v>31</v>
      </c>
      <c r="D53" s="14">
        <v>31</v>
      </c>
      <c r="E53" s="11">
        <f t="shared" si="5"/>
        <v>4.4285714285714288</v>
      </c>
      <c r="F53" s="18">
        <f t="shared" si="6"/>
        <v>40</v>
      </c>
      <c r="G53" s="35">
        <v>1</v>
      </c>
      <c r="H53" t="s">
        <v>60</v>
      </c>
      <c r="I53" s="12">
        <f t="shared" si="3"/>
        <v>63613.808219178085</v>
      </c>
      <c r="J53" s="9">
        <f t="shared" si="4"/>
        <v>171.00486080424216</v>
      </c>
      <c r="K53" s="12">
        <f>D53/C53*$L$27</f>
        <v>20800</v>
      </c>
      <c r="P53" s="7"/>
    </row>
    <row r="54" spans="1:16" x14ac:dyDescent="0.25">
      <c r="A54" t="s">
        <v>17</v>
      </c>
      <c r="B54" s="9">
        <v>56.9</v>
      </c>
      <c r="C54">
        <v>30</v>
      </c>
      <c r="D54" s="14">
        <v>30</v>
      </c>
      <c r="E54" s="11">
        <f t="shared" si="5"/>
        <v>4.2857142857142856</v>
      </c>
      <c r="F54" s="18">
        <f t="shared" si="6"/>
        <v>40</v>
      </c>
      <c r="G54" s="35">
        <v>0.9</v>
      </c>
      <c r="H54" t="s">
        <v>60</v>
      </c>
      <c r="I54" s="12">
        <f t="shared" si="3"/>
        <v>57252.427397260275</v>
      </c>
      <c r="J54" s="9">
        <f t="shared" si="4"/>
        <v>159.03452054794522</v>
      </c>
      <c r="K54" s="12">
        <f>D54/C54*$L$27</f>
        <v>20800</v>
      </c>
      <c r="P54" s="7"/>
    </row>
    <row r="55" spans="1:16" x14ac:dyDescent="0.25">
      <c r="A55" t="s">
        <v>18</v>
      </c>
      <c r="B55" s="9">
        <v>46.093548387096767</v>
      </c>
      <c r="C55">
        <v>31</v>
      </c>
      <c r="D55" s="14">
        <v>25</v>
      </c>
      <c r="E55" s="11">
        <f t="shared" si="5"/>
        <v>4.4285714285714288</v>
      </c>
      <c r="F55" s="18">
        <f t="shared" si="6"/>
        <v>32.258064516129032</v>
      </c>
      <c r="G55" s="35">
        <v>0.5</v>
      </c>
      <c r="H55" t="s">
        <v>59</v>
      </c>
      <c r="I55" s="12">
        <f t="shared" si="3"/>
        <v>25650.729120636322</v>
      </c>
      <c r="J55" s="9">
        <f t="shared" si="4"/>
        <v>85.502430402121078</v>
      </c>
      <c r="K55" s="12">
        <f>D55/C55*$L$39</f>
        <v>9225.8064516129034</v>
      </c>
      <c r="P55" s="7"/>
    </row>
    <row r="56" spans="1:16" x14ac:dyDescent="0.25">
      <c r="A56" t="s">
        <v>19</v>
      </c>
      <c r="B56" s="9">
        <v>35.003333333333323</v>
      </c>
      <c r="C56">
        <v>30</v>
      </c>
      <c r="D56" s="14">
        <v>15</v>
      </c>
      <c r="E56" s="11">
        <f t="shared" si="5"/>
        <v>4.2857142857142856</v>
      </c>
      <c r="F56" s="18">
        <f t="shared" si="6"/>
        <v>20</v>
      </c>
      <c r="G56" s="35">
        <v>0.1</v>
      </c>
      <c r="H56" t="s">
        <v>59</v>
      </c>
      <c r="I56" s="12">
        <f t="shared" si="3"/>
        <v>3180.6904109589045</v>
      </c>
      <c r="J56" s="9">
        <f t="shared" si="4"/>
        <v>17.670502283105026</v>
      </c>
      <c r="K56" s="12">
        <f>D56/C56*$L$39</f>
        <v>5720</v>
      </c>
      <c r="P56" s="7"/>
    </row>
    <row r="57" spans="1:16" x14ac:dyDescent="0.25">
      <c r="A57" t="s">
        <v>20</v>
      </c>
      <c r="B57" s="9">
        <v>26.506451612903223</v>
      </c>
      <c r="C57">
        <v>31</v>
      </c>
      <c r="D57" s="34">
        <v>10</v>
      </c>
      <c r="E57" s="11">
        <f t="shared" si="5"/>
        <v>4.4285714285714288</v>
      </c>
      <c r="F57" s="18">
        <f t="shared" si="6"/>
        <v>12.903225806451612</v>
      </c>
      <c r="G57" s="35">
        <v>0.05</v>
      </c>
      <c r="H57" t="s">
        <v>59</v>
      </c>
      <c r="I57" s="12">
        <f t="shared" si="3"/>
        <v>1026.0291648254531</v>
      </c>
      <c r="J57" s="9">
        <f t="shared" si="4"/>
        <v>8.5502430402121092</v>
      </c>
      <c r="K57" s="12">
        <f>D57/C57*$L$39</f>
        <v>3690.322580645161</v>
      </c>
      <c r="P57" s="7"/>
    </row>
    <row r="58" spans="1:16" ht="16.5" thickBot="1" x14ac:dyDescent="0.3">
      <c r="D58">
        <f>SUM(D46:D57)</f>
        <v>263</v>
      </c>
      <c r="I58" s="16">
        <f>SUM(I46:I57)</f>
        <v>352550.94981377438</v>
      </c>
      <c r="K58" s="16">
        <f>SUM(K46:K57)</f>
        <v>145480.98310291857</v>
      </c>
      <c r="P58" s="7"/>
    </row>
    <row r="59" spans="1:16" ht="16.5" thickTop="1" x14ac:dyDescent="0.25">
      <c r="I59" s="46"/>
      <c r="J59" s="46"/>
      <c r="K59" s="46"/>
      <c r="P59" s="7"/>
    </row>
    <row r="60" spans="1:16" x14ac:dyDescent="0.25">
      <c r="A60" s="44" t="s">
        <v>92</v>
      </c>
      <c r="P60" s="7"/>
    </row>
    <row r="61" spans="1:16" x14ac:dyDescent="0.25">
      <c r="A61" s="44" t="s">
        <v>103</v>
      </c>
      <c r="P61" s="7"/>
    </row>
    <row r="62" spans="1:16" x14ac:dyDescent="0.25">
      <c r="P62" s="7"/>
    </row>
    <row r="63" spans="1:16" x14ac:dyDescent="0.25">
      <c r="P63" s="7"/>
    </row>
    <row r="64" spans="1:16" x14ac:dyDescent="0.25">
      <c r="A64" t="s">
        <v>89</v>
      </c>
      <c r="P64" s="7"/>
    </row>
    <row r="65" spans="2:16" x14ac:dyDescent="0.25">
      <c r="B65" t="s">
        <v>91</v>
      </c>
      <c r="N65" s="7"/>
      <c r="O65" s="7"/>
      <c r="P65" s="7"/>
    </row>
    <row r="66" spans="2:16" x14ac:dyDescent="0.25">
      <c r="B66" t="s">
        <v>101</v>
      </c>
      <c r="N66" s="7"/>
      <c r="O66" s="7"/>
      <c r="P66" s="7"/>
    </row>
    <row r="67" spans="2:16" x14ac:dyDescent="0.25">
      <c r="B67" t="s">
        <v>90</v>
      </c>
      <c r="N67" s="7"/>
      <c r="O67" s="7"/>
      <c r="P67" s="7"/>
    </row>
    <row r="68" spans="2:16" x14ac:dyDescent="0.25">
      <c r="N68" s="7"/>
      <c r="O68" s="7"/>
      <c r="P68" s="7"/>
    </row>
    <row r="69" spans="2:16" x14ac:dyDescent="0.25">
      <c r="N69" s="7"/>
      <c r="O69" s="7"/>
      <c r="P69" s="7"/>
    </row>
    <row r="70" spans="2:16" x14ac:dyDescent="0.25">
      <c r="N70" s="7"/>
      <c r="O70" s="7"/>
      <c r="P70" s="7"/>
    </row>
    <row r="71" spans="2:16" x14ac:dyDescent="0.25">
      <c r="N71" s="7"/>
      <c r="O71" s="7"/>
      <c r="P71" s="7"/>
    </row>
    <row r="72" spans="2:16" x14ac:dyDescent="0.25">
      <c r="N72" s="7"/>
      <c r="O72" s="7"/>
      <c r="P72" s="7"/>
    </row>
    <row r="73" spans="2:16" x14ac:dyDescent="0.25">
      <c r="N73" s="7"/>
      <c r="O73" s="7"/>
      <c r="P73" s="7"/>
    </row>
    <row r="74" spans="2:16" x14ac:dyDescent="0.25">
      <c r="N74" s="7"/>
      <c r="O74" s="7"/>
      <c r="P74" s="7"/>
    </row>
    <row r="75" spans="2:16" x14ac:dyDescent="0.25">
      <c r="N75" s="7"/>
      <c r="O75" s="7"/>
      <c r="P75" s="7"/>
    </row>
    <row r="76" spans="2:16" x14ac:dyDescent="0.25">
      <c r="N76" s="7"/>
      <c r="O76" s="7"/>
      <c r="P76" s="7"/>
    </row>
    <row r="77" spans="2:16" x14ac:dyDescent="0.25">
      <c r="N77" s="7"/>
      <c r="O77" s="7"/>
      <c r="P77" s="7"/>
    </row>
    <row r="78" spans="2:16" x14ac:dyDescent="0.25">
      <c r="N78" s="7"/>
      <c r="O78" s="7"/>
      <c r="P78" s="3"/>
    </row>
    <row r="79" spans="2:16" x14ac:dyDescent="0.25">
      <c r="N79" s="7"/>
      <c r="O79" s="7"/>
    </row>
    <row r="80" spans="2:16" x14ac:dyDescent="0.25">
      <c r="N80" s="7"/>
      <c r="O80" s="7"/>
    </row>
    <row r="81" spans="12:15" x14ac:dyDescent="0.25">
      <c r="N81" s="7"/>
      <c r="O81" s="7"/>
    </row>
    <row r="82" spans="12:15" x14ac:dyDescent="0.25">
      <c r="N82" s="7"/>
      <c r="O82" s="7"/>
    </row>
    <row r="83" spans="12:15" x14ac:dyDescent="0.25">
      <c r="N83" s="7"/>
      <c r="O83" s="7"/>
    </row>
    <row r="84" spans="12:15" x14ac:dyDescent="0.25">
      <c r="N84" s="7"/>
      <c r="O84" s="7"/>
    </row>
    <row r="85" spans="12:15" x14ac:dyDescent="0.25">
      <c r="N85" s="7"/>
      <c r="O85" s="7"/>
    </row>
    <row r="86" spans="12:15" x14ac:dyDescent="0.25">
      <c r="L86" s="7"/>
      <c r="M86" s="7"/>
      <c r="N86" s="7"/>
      <c r="O86" s="7"/>
    </row>
    <row r="87" spans="12:15" x14ac:dyDescent="0.25">
      <c r="L87" s="7"/>
      <c r="M87" s="7"/>
      <c r="N87" s="7"/>
      <c r="O87" s="7"/>
    </row>
    <row r="88" spans="12:15" x14ac:dyDescent="0.25">
      <c r="L88" s="7"/>
      <c r="M88" s="7"/>
      <c r="N88" s="7"/>
      <c r="O88" s="7"/>
    </row>
    <row r="89" spans="12:15" x14ac:dyDescent="0.25">
      <c r="L89" s="7"/>
      <c r="M89" s="7"/>
      <c r="N89" s="7"/>
      <c r="O89" s="7"/>
    </row>
    <row r="90" spans="12:15" x14ac:dyDescent="0.25">
      <c r="L90" s="7"/>
      <c r="M90" s="7"/>
      <c r="N90" s="7"/>
      <c r="O90" s="7"/>
    </row>
    <row r="91" spans="12:15" x14ac:dyDescent="0.25">
      <c r="L91" s="7"/>
      <c r="M91" s="7"/>
      <c r="N91" s="7"/>
      <c r="O91" s="7"/>
    </row>
    <row r="92" spans="12:15" x14ac:dyDescent="0.25">
      <c r="L92" s="7"/>
      <c r="M92" s="7"/>
      <c r="N92" s="7"/>
      <c r="O92" s="7"/>
    </row>
    <row r="93" spans="12:15" x14ac:dyDescent="0.25">
      <c r="L93" s="7"/>
      <c r="M93" s="7"/>
      <c r="N93" s="7"/>
      <c r="O93" s="7"/>
    </row>
    <row r="94" spans="12:15" x14ac:dyDescent="0.25">
      <c r="L94" s="7"/>
      <c r="M94" s="7"/>
      <c r="N94" s="7"/>
      <c r="O94" s="7"/>
    </row>
    <row r="95" spans="12:15" x14ac:dyDescent="0.25">
      <c r="L95" s="7"/>
      <c r="M95" s="7"/>
      <c r="N95" s="7"/>
      <c r="O95" s="7"/>
    </row>
  </sheetData>
  <mergeCells count="2">
    <mergeCell ref="A44:K44"/>
    <mergeCell ref="I6:M6"/>
  </mergeCells>
  <printOptions horizontalCentered="1" verticalCentered="1"/>
  <pageMargins left="0.25" right="0.25" top="0.75" bottom="0.75" header="0.3" footer="0.3"/>
  <pageSetup scale="1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8"/>
  <sheetViews>
    <sheetView zoomScale="64" workbookViewId="0">
      <selection activeCell="G36" sqref="G36"/>
    </sheetView>
  </sheetViews>
  <sheetFormatPr defaultColWidth="11.25" defaultRowHeight="15.75" x14ac:dyDescent="0.25"/>
  <cols>
    <col min="1" max="1" width="6.875" customWidth="1"/>
    <col min="2" max="2" width="35.75" customWidth="1"/>
    <col min="3" max="3" width="14.375" bestFit="1" customWidth="1"/>
    <col min="4" max="4" width="12.75" customWidth="1"/>
    <col min="5" max="5" width="14.5" bestFit="1" customWidth="1"/>
    <col min="7" max="7" width="52.125" bestFit="1" customWidth="1"/>
    <col min="8" max="8" width="12.75" customWidth="1"/>
    <col min="9" max="9" width="22.75" bestFit="1" customWidth="1"/>
    <col min="10" max="10" width="22.75" customWidth="1"/>
    <col min="12" max="12" width="10.25" bestFit="1" customWidth="1"/>
    <col min="13" max="13" width="17.75" bestFit="1" customWidth="1"/>
    <col min="14" max="15" width="52.125" customWidth="1"/>
    <col min="16" max="16" width="8.75" customWidth="1"/>
    <col min="17" max="17" width="15" customWidth="1"/>
    <col min="18" max="18" width="11.375" bestFit="1" customWidth="1"/>
    <col min="19" max="19" width="12.375" bestFit="1" customWidth="1"/>
    <col min="20" max="20" width="13.5" customWidth="1"/>
    <col min="22" max="22" width="9.75" customWidth="1"/>
    <col min="23" max="24" width="11" customWidth="1"/>
    <col min="25" max="25" width="14.375" customWidth="1"/>
    <col min="27" max="27" width="15.5" customWidth="1"/>
    <col min="34" max="34" width="30.25" customWidth="1"/>
    <col min="35" max="35" width="11.875" bestFit="1" customWidth="1"/>
  </cols>
  <sheetData>
    <row r="1" spans="1:14" x14ac:dyDescent="0.25">
      <c r="A1" s="2" t="s">
        <v>0</v>
      </c>
      <c r="B1" s="2"/>
      <c r="D1" s="14" t="s">
        <v>79</v>
      </c>
      <c r="E1" s="14"/>
      <c r="F1" s="14"/>
      <c r="G1" s="51" t="s">
        <v>108</v>
      </c>
    </row>
    <row r="2" spans="1:14" x14ac:dyDescent="0.25">
      <c r="A2" s="2" t="s">
        <v>86</v>
      </c>
      <c r="G2" s="2" t="s">
        <v>109</v>
      </c>
    </row>
    <row r="3" spans="1:14" x14ac:dyDescent="0.25">
      <c r="A3" s="2" t="s">
        <v>105</v>
      </c>
      <c r="G3" s="2" t="s">
        <v>110</v>
      </c>
    </row>
    <row r="4" spans="1:14" x14ac:dyDescent="0.25">
      <c r="A4" s="47">
        <v>44044</v>
      </c>
      <c r="G4" s="2" t="s">
        <v>111</v>
      </c>
    </row>
    <row r="5" spans="1:14" x14ac:dyDescent="0.25">
      <c r="A5" s="47"/>
      <c r="G5" s="2" t="s">
        <v>112</v>
      </c>
    </row>
    <row r="6" spans="1:14" x14ac:dyDescent="0.25">
      <c r="G6" s="2" t="s">
        <v>113</v>
      </c>
    </row>
    <row r="7" spans="1:14" x14ac:dyDescent="0.25">
      <c r="G7" s="2" t="s">
        <v>114</v>
      </c>
    </row>
    <row r="9" spans="1:14" x14ac:dyDescent="0.25">
      <c r="A9" s="40" t="s">
        <v>78</v>
      </c>
      <c r="B9" s="41"/>
      <c r="C9" s="42"/>
      <c r="F9" s="38" t="s">
        <v>81</v>
      </c>
      <c r="G9" s="39"/>
      <c r="H9" s="30"/>
      <c r="I9" s="53" t="s">
        <v>104</v>
      </c>
      <c r="J9" s="54"/>
      <c r="K9" s="54"/>
      <c r="L9" s="54"/>
      <c r="M9" s="55"/>
    </row>
    <row r="10" spans="1:14" x14ac:dyDescent="0.25">
      <c r="H10" s="31"/>
    </row>
    <row r="11" spans="1:14" x14ac:dyDescent="0.25">
      <c r="A11" t="s">
        <v>44</v>
      </c>
      <c r="F11">
        <v>56</v>
      </c>
      <c r="G11" t="s">
        <v>1</v>
      </c>
      <c r="H11" s="31"/>
      <c r="K11" s="27" t="s">
        <v>35</v>
      </c>
      <c r="L11" s="27" t="s">
        <v>36</v>
      </c>
      <c r="M11" t="s">
        <v>106</v>
      </c>
      <c r="N11" s="27" t="s">
        <v>43</v>
      </c>
    </row>
    <row r="12" spans="1:14" x14ac:dyDescent="0.25">
      <c r="B12" t="s">
        <v>45</v>
      </c>
      <c r="C12" s="22">
        <f>F44</f>
        <v>96000</v>
      </c>
      <c r="F12" s="21">
        <v>15</v>
      </c>
      <c r="G12" t="s">
        <v>5</v>
      </c>
      <c r="H12" s="31"/>
      <c r="I12" s="26" t="s">
        <v>98</v>
      </c>
      <c r="J12" s="26"/>
    </row>
    <row r="13" spans="1:14" x14ac:dyDescent="0.25">
      <c r="B13" t="s">
        <v>46</v>
      </c>
      <c r="C13" s="9">
        <f>I61</f>
        <v>229990.14913831197</v>
      </c>
      <c r="F13" s="29">
        <v>120</v>
      </c>
      <c r="G13" t="s">
        <v>30</v>
      </c>
      <c r="H13" s="31"/>
      <c r="I13" s="14" t="s">
        <v>37</v>
      </c>
      <c r="J13" s="14"/>
      <c r="K13" s="21">
        <v>60000</v>
      </c>
    </row>
    <row r="14" spans="1:14" x14ac:dyDescent="0.25">
      <c r="B14" t="s">
        <v>47</v>
      </c>
      <c r="C14" s="15">
        <v>27500</v>
      </c>
      <c r="F14" s="14">
        <v>5</v>
      </c>
      <c r="G14" t="s">
        <v>6</v>
      </c>
      <c r="H14" s="31"/>
      <c r="I14" s="23" t="s">
        <v>66</v>
      </c>
      <c r="J14" s="23"/>
      <c r="K14" s="24">
        <v>0.2</v>
      </c>
    </row>
    <row r="15" spans="1:14" x14ac:dyDescent="0.25">
      <c r="B15" t="s">
        <v>74</v>
      </c>
      <c r="C15" s="45">
        <v>17217</v>
      </c>
      <c r="F15" t="s">
        <v>8</v>
      </c>
      <c r="G15" t="s">
        <v>7</v>
      </c>
      <c r="H15" s="31"/>
      <c r="I15" s="23" t="s">
        <v>67</v>
      </c>
      <c r="J15" s="23"/>
      <c r="K15" s="43">
        <f>K13*(1+K14)</f>
        <v>72000</v>
      </c>
    </row>
    <row r="16" spans="1:14" x14ac:dyDescent="0.25">
      <c r="B16" s="26" t="s">
        <v>68</v>
      </c>
      <c r="C16" s="22">
        <f>SUM(C12:C15)</f>
        <v>370707.14913831197</v>
      </c>
      <c r="F16" s="14">
        <v>8</v>
      </c>
      <c r="G16" t="s">
        <v>80</v>
      </c>
      <c r="H16" s="31"/>
    </row>
    <row r="17" spans="1:31" x14ac:dyDescent="0.25">
      <c r="F17" s="23">
        <f>F14*F16</f>
        <v>40</v>
      </c>
      <c r="G17" t="s">
        <v>57</v>
      </c>
      <c r="H17" s="31"/>
    </row>
    <row r="18" spans="1:31" x14ac:dyDescent="0.25">
      <c r="H18" s="31"/>
      <c r="I18" s="26" t="s">
        <v>96</v>
      </c>
      <c r="J18" s="26"/>
    </row>
    <row r="19" spans="1:31" x14ac:dyDescent="0.25">
      <c r="A19" t="s">
        <v>93</v>
      </c>
      <c r="H19" s="30"/>
      <c r="I19" s="14" t="s">
        <v>34</v>
      </c>
      <c r="J19" s="14"/>
      <c r="L19" s="20">
        <v>20</v>
      </c>
      <c r="M19" s="50">
        <f>L19*173</f>
        <v>3460</v>
      </c>
      <c r="N19" s="12">
        <f t="shared" ref="N19:N24" si="0">L19*2080</f>
        <v>41600</v>
      </c>
    </row>
    <row r="20" spans="1:31" x14ac:dyDescent="0.25">
      <c r="B20" t="s">
        <v>48</v>
      </c>
      <c r="C20" s="22">
        <f>K15</f>
        <v>72000</v>
      </c>
      <c r="F20" s="48" t="s">
        <v>77</v>
      </c>
      <c r="G20" s="49"/>
      <c r="I20" s="14" t="s">
        <v>38</v>
      </c>
      <c r="J20" s="14"/>
      <c r="L20" s="20">
        <v>15</v>
      </c>
      <c r="M20" s="50">
        <f t="shared" ref="M20:M24" si="1">L20*173</f>
        <v>2595</v>
      </c>
      <c r="N20" s="12">
        <f t="shared" si="0"/>
        <v>31200</v>
      </c>
    </row>
    <row r="21" spans="1:31" x14ac:dyDescent="0.25">
      <c r="B21" t="s">
        <v>49</v>
      </c>
      <c r="C21" s="9">
        <f>K61</f>
        <v>128753.54838709679</v>
      </c>
      <c r="I21" s="14" t="s">
        <v>39</v>
      </c>
      <c r="J21" s="14"/>
      <c r="L21" s="20">
        <v>20</v>
      </c>
      <c r="M21" s="50">
        <f t="shared" si="1"/>
        <v>3460</v>
      </c>
      <c r="N21" s="12">
        <f t="shared" si="0"/>
        <v>41600</v>
      </c>
    </row>
    <row r="22" spans="1:31" x14ac:dyDescent="0.25">
      <c r="B22" t="s">
        <v>51</v>
      </c>
      <c r="C22" s="15">
        <v>12000</v>
      </c>
      <c r="F22" s="26" t="s">
        <v>22</v>
      </c>
      <c r="I22" s="14" t="s">
        <v>40</v>
      </c>
      <c r="J22" s="14"/>
      <c r="L22" s="20">
        <v>15</v>
      </c>
      <c r="M22" s="50">
        <f t="shared" si="1"/>
        <v>2595</v>
      </c>
      <c r="N22" s="12">
        <f t="shared" si="0"/>
        <v>31200</v>
      </c>
    </row>
    <row r="23" spans="1:31" x14ac:dyDescent="0.25">
      <c r="B23" t="s">
        <v>53</v>
      </c>
      <c r="C23" s="15">
        <v>48000</v>
      </c>
      <c r="F23" s="14">
        <v>200</v>
      </c>
      <c r="G23" t="s">
        <v>25</v>
      </c>
      <c r="I23" s="14" t="s">
        <v>41</v>
      </c>
      <c r="J23" s="14"/>
      <c r="L23" s="20">
        <v>15</v>
      </c>
      <c r="M23" s="50">
        <f t="shared" si="1"/>
        <v>2595</v>
      </c>
      <c r="N23" s="12">
        <f t="shared" si="0"/>
        <v>31200</v>
      </c>
    </row>
    <row r="24" spans="1:31" x14ac:dyDescent="0.25">
      <c r="B24" t="s">
        <v>71</v>
      </c>
      <c r="C24" s="15">
        <v>7500</v>
      </c>
      <c r="F24" s="8">
        <v>2</v>
      </c>
      <c r="G24" t="s">
        <v>24</v>
      </c>
      <c r="I24" s="14" t="s">
        <v>42</v>
      </c>
      <c r="J24" s="14"/>
      <c r="L24" s="20">
        <v>15</v>
      </c>
      <c r="M24" s="50">
        <f t="shared" si="1"/>
        <v>2595</v>
      </c>
      <c r="N24" s="12">
        <f t="shared" si="0"/>
        <v>31200</v>
      </c>
      <c r="AE24" s="4"/>
    </row>
    <row r="25" spans="1:31" x14ac:dyDescent="0.25">
      <c r="B25" t="s">
        <v>82</v>
      </c>
      <c r="C25" s="15">
        <v>12000</v>
      </c>
      <c r="F25">
        <f>F23*F24</f>
        <v>400</v>
      </c>
      <c r="G25" t="s">
        <v>94</v>
      </c>
      <c r="I25" t="s">
        <v>65</v>
      </c>
      <c r="L25" s="17">
        <f>SUM(L19:L24)</f>
        <v>100</v>
      </c>
      <c r="N25" s="12"/>
      <c r="AE25" s="4"/>
    </row>
    <row r="26" spans="1:31" x14ac:dyDescent="0.25">
      <c r="B26" t="s">
        <v>50</v>
      </c>
      <c r="C26" s="15">
        <v>8000</v>
      </c>
      <c r="I26" s="23" t="s">
        <v>66</v>
      </c>
      <c r="J26" s="23"/>
      <c r="L26" s="24">
        <v>0.2</v>
      </c>
      <c r="AE26" s="4"/>
    </row>
    <row r="27" spans="1:31" x14ac:dyDescent="0.25">
      <c r="B27" t="s">
        <v>52</v>
      </c>
      <c r="C27" s="15">
        <v>3000</v>
      </c>
      <c r="F27" s="14">
        <f>F23/2</f>
        <v>100</v>
      </c>
      <c r="G27" t="s">
        <v>26</v>
      </c>
      <c r="I27" s="23" t="s">
        <v>67</v>
      </c>
      <c r="J27" s="23"/>
      <c r="L27" s="17">
        <f>L25*(1+L26)</f>
        <v>120</v>
      </c>
      <c r="AE27" s="4"/>
    </row>
    <row r="28" spans="1:31" x14ac:dyDescent="0.25">
      <c r="B28" t="s">
        <v>3</v>
      </c>
      <c r="C28" s="15">
        <v>6000</v>
      </c>
      <c r="F28" s="8">
        <f>F14-F24</f>
        <v>3</v>
      </c>
      <c r="G28" t="s">
        <v>33</v>
      </c>
      <c r="I28" t="s">
        <v>61</v>
      </c>
      <c r="L28" s="19">
        <f>F17</f>
        <v>40</v>
      </c>
      <c r="M28" s="50"/>
      <c r="AE28" s="4"/>
    </row>
    <row r="29" spans="1:31" x14ac:dyDescent="0.25">
      <c r="B29" t="s">
        <v>2</v>
      </c>
      <c r="C29" s="15">
        <v>3000</v>
      </c>
      <c r="F29">
        <f>F27*F28</f>
        <v>300</v>
      </c>
      <c r="G29" t="s">
        <v>95</v>
      </c>
      <c r="I29" t="s">
        <v>63</v>
      </c>
      <c r="L29" s="12">
        <f>L27*L28</f>
        <v>4800</v>
      </c>
      <c r="M29" s="22"/>
      <c r="AE29" s="4"/>
    </row>
    <row r="30" spans="1:31" x14ac:dyDescent="0.25">
      <c r="B30" t="s">
        <v>88</v>
      </c>
      <c r="C30" s="15">
        <v>3000</v>
      </c>
      <c r="I30" t="s">
        <v>62</v>
      </c>
      <c r="L30" s="12">
        <f>L29*52/12</f>
        <v>20800</v>
      </c>
      <c r="AE30" s="4"/>
    </row>
    <row r="31" spans="1:31" ht="16.5" thickBot="1" x14ac:dyDescent="0.3">
      <c r="B31" t="s">
        <v>4</v>
      </c>
      <c r="C31" s="15">
        <v>6000</v>
      </c>
      <c r="F31" s="10">
        <f>F25+F29</f>
        <v>700</v>
      </c>
      <c r="G31" t="s">
        <v>29</v>
      </c>
      <c r="I31" t="s">
        <v>107</v>
      </c>
      <c r="L31" s="50">
        <f>M19+M21</f>
        <v>6920</v>
      </c>
      <c r="O31" s="1"/>
      <c r="AE31" s="4"/>
    </row>
    <row r="32" spans="1:31" ht="16.5" thickTop="1" x14ac:dyDescent="0.25">
      <c r="B32" t="s">
        <v>87</v>
      </c>
      <c r="C32" s="9">
        <f>(C12+C13)*0.03</f>
        <v>9779.7044741493592</v>
      </c>
      <c r="L32" s="50"/>
      <c r="N32" s="1"/>
      <c r="AE32" s="4"/>
    </row>
    <row r="33" spans="1:31" x14ac:dyDescent="0.25">
      <c r="B33" t="s">
        <v>83</v>
      </c>
      <c r="C33" s="45">
        <v>20000</v>
      </c>
      <c r="AE33" s="4"/>
    </row>
    <row r="34" spans="1:31" x14ac:dyDescent="0.25">
      <c r="B34" t="s">
        <v>72</v>
      </c>
      <c r="C34" s="22">
        <f>SUM(C20:C33)</f>
        <v>339033.25286124612</v>
      </c>
      <c r="F34" s="26" t="s">
        <v>84</v>
      </c>
      <c r="I34" s="26" t="s">
        <v>97</v>
      </c>
      <c r="J34" s="26"/>
    </row>
    <row r="35" spans="1:31" x14ac:dyDescent="0.25">
      <c r="F35" s="9">
        <f>F31</f>
        <v>700</v>
      </c>
      <c r="G35" t="s">
        <v>23</v>
      </c>
      <c r="I35" s="14" t="s">
        <v>34</v>
      </c>
      <c r="J35" s="14"/>
      <c r="L35" s="20">
        <v>20</v>
      </c>
      <c r="M35" s="12">
        <f>L35*2080</f>
        <v>41600</v>
      </c>
    </row>
    <row r="36" spans="1:31" ht="16.5" thickBot="1" x14ac:dyDescent="0.3">
      <c r="A36" t="s">
        <v>73</v>
      </c>
      <c r="C36" s="25">
        <f>C16-C34</f>
        <v>31673.896277065855</v>
      </c>
      <c r="F36" s="32">
        <f>F12</f>
        <v>15</v>
      </c>
      <c r="G36" t="s">
        <v>5</v>
      </c>
      <c r="I36" s="14" t="s">
        <v>39</v>
      </c>
      <c r="J36" s="14"/>
      <c r="L36" s="20">
        <v>20</v>
      </c>
      <c r="M36" s="12">
        <f>L36*2080</f>
        <v>41600</v>
      </c>
    </row>
    <row r="37" spans="1:31" ht="16.5" thickTop="1" x14ac:dyDescent="0.25">
      <c r="F37" s="12">
        <f>F35*F36</f>
        <v>10500</v>
      </c>
      <c r="G37" t="s">
        <v>27</v>
      </c>
      <c r="I37" s="14" t="s">
        <v>40</v>
      </c>
      <c r="J37" s="14"/>
      <c r="L37" s="20">
        <v>15</v>
      </c>
      <c r="M37" s="12">
        <f>L37*2080</f>
        <v>31200</v>
      </c>
    </row>
    <row r="38" spans="1:31" x14ac:dyDescent="0.25">
      <c r="F38" s="13">
        <f>52/365*30.5</f>
        <v>4.3452054794520549</v>
      </c>
      <c r="G38" t="s">
        <v>32</v>
      </c>
      <c r="L38" s="17">
        <f>SUM(L35:L37)</f>
        <v>55</v>
      </c>
    </row>
    <row r="39" spans="1:31" x14ac:dyDescent="0.25">
      <c r="F39" s="33">
        <f>F37*F38</f>
        <v>45624.65753424658</v>
      </c>
      <c r="G39" t="s">
        <v>69</v>
      </c>
      <c r="I39" s="23" t="s">
        <v>66</v>
      </c>
      <c r="J39" s="23"/>
      <c r="L39" s="24">
        <v>0.2</v>
      </c>
    </row>
    <row r="40" spans="1:31" x14ac:dyDescent="0.25">
      <c r="I40" s="23" t="s">
        <v>67</v>
      </c>
      <c r="J40" s="23"/>
      <c r="L40" s="17">
        <f>L38*(1+L39)</f>
        <v>66</v>
      </c>
      <c r="U40" s="1"/>
    </row>
    <row r="41" spans="1:31" x14ac:dyDescent="0.25">
      <c r="F41" s="26" t="s">
        <v>99</v>
      </c>
      <c r="I41" t="s">
        <v>61</v>
      </c>
      <c r="L41" s="19">
        <f>F17</f>
        <v>40</v>
      </c>
      <c r="U41" s="1"/>
    </row>
    <row r="42" spans="1:31" x14ac:dyDescent="0.25">
      <c r="F42" s="15">
        <v>800</v>
      </c>
      <c r="G42" t="s">
        <v>28</v>
      </c>
      <c r="I42" t="s">
        <v>63</v>
      </c>
      <c r="L42" s="12">
        <f>L40*L41</f>
        <v>2640</v>
      </c>
    </row>
    <row r="43" spans="1:31" x14ac:dyDescent="0.25">
      <c r="F43" s="32">
        <f>F13</f>
        <v>120</v>
      </c>
      <c r="G43" t="s">
        <v>30</v>
      </c>
      <c r="I43" t="s">
        <v>62</v>
      </c>
      <c r="L43" s="12">
        <f>L42*52/12</f>
        <v>11440</v>
      </c>
      <c r="U43" s="1"/>
    </row>
    <row r="44" spans="1:31" x14ac:dyDescent="0.25">
      <c r="F44" s="33">
        <f>F42*F43</f>
        <v>96000</v>
      </c>
      <c r="G44" t="s">
        <v>31</v>
      </c>
      <c r="U44" s="1"/>
    </row>
    <row r="45" spans="1:31" x14ac:dyDescent="0.25">
      <c r="U45" s="1"/>
    </row>
    <row r="46" spans="1:31" x14ac:dyDescent="0.25">
      <c r="U46" s="1"/>
    </row>
    <row r="47" spans="1:31" x14ac:dyDescent="0.25">
      <c r="A47" s="52" t="s">
        <v>76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U47" s="6"/>
    </row>
    <row r="48" spans="1:31" ht="64.150000000000006" customHeight="1" x14ac:dyDescent="0.25">
      <c r="A48" s="28" t="s">
        <v>75</v>
      </c>
      <c r="B48" s="28" t="s">
        <v>21</v>
      </c>
      <c r="C48" s="28" t="s">
        <v>54</v>
      </c>
      <c r="D48" s="28" t="s">
        <v>85</v>
      </c>
      <c r="E48" s="28" t="s">
        <v>55</v>
      </c>
      <c r="F48" s="28" t="s">
        <v>56</v>
      </c>
      <c r="G48" s="28" t="s">
        <v>100</v>
      </c>
      <c r="H48" s="28" t="s">
        <v>58</v>
      </c>
      <c r="I48" s="28" t="s">
        <v>70</v>
      </c>
      <c r="J48" s="28" t="s">
        <v>102</v>
      </c>
      <c r="K48" s="28" t="s">
        <v>64</v>
      </c>
      <c r="U48" s="5"/>
    </row>
    <row r="49" spans="1:21" x14ac:dyDescent="0.25">
      <c r="A49" t="s">
        <v>9</v>
      </c>
      <c r="B49" s="9">
        <v>27.193548387096776</v>
      </c>
      <c r="C49">
        <v>31</v>
      </c>
      <c r="D49" s="14">
        <v>15</v>
      </c>
      <c r="E49" s="9">
        <f t="shared" ref="E49:E60" si="2">C49/7</f>
        <v>4.4285714285714288</v>
      </c>
      <c r="F49" s="18">
        <f>D49/C49*$F$17</f>
        <v>19.35483870967742</v>
      </c>
      <c r="G49" s="35">
        <v>0.25</v>
      </c>
      <c r="H49" t="s">
        <v>59</v>
      </c>
      <c r="I49" s="12">
        <f>D49/C49*$F$39*G49</f>
        <v>5519.1117984975708</v>
      </c>
      <c r="J49" s="9">
        <f>I49/D49/12</f>
        <v>30.661732213875393</v>
      </c>
      <c r="K49" s="12">
        <f>MAX(D49/C49*$L$43,$L$31)</f>
        <v>6920</v>
      </c>
    </row>
    <row r="50" spans="1:21" x14ac:dyDescent="0.25">
      <c r="A50" t="s">
        <v>10</v>
      </c>
      <c r="B50" s="9">
        <v>28.493103448275861</v>
      </c>
      <c r="C50">
        <v>28</v>
      </c>
      <c r="D50" s="14">
        <v>15</v>
      </c>
      <c r="E50" s="11">
        <f t="shared" si="2"/>
        <v>4</v>
      </c>
      <c r="F50" s="18">
        <f t="shared" ref="F50:F60" si="3">D50/C50*$F$17</f>
        <v>21.428571428571427</v>
      </c>
      <c r="G50" s="35">
        <v>0.25</v>
      </c>
      <c r="H50" t="s">
        <v>59</v>
      </c>
      <c r="I50" s="12">
        <f t="shared" ref="I50:I60" si="4">D50/C50*$F$39*G50</f>
        <v>6110.4452054794529</v>
      </c>
      <c r="J50" s="9">
        <f t="shared" ref="J50:J60" si="5">I50/D50/12</f>
        <v>33.946917808219183</v>
      </c>
      <c r="K50" s="12">
        <f>MAX(D50/C50*$L$43,$L$31)</f>
        <v>6920</v>
      </c>
      <c r="U50" s="7"/>
    </row>
    <row r="51" spans="1:21" x14ac:dyDescent="0.25">
      <c r="A51" t="s">
        <v>11</v>
      </c>
      <c r="B51" s="9">
        <v>34.193548387096776</v>
      </c>
      <c r="C51">
        <v>31</v>
      </c>
      <c r="D51" s="14">
        <v>20</v>
      </c>
      <c r="E51" s="11">
        <f t="shared" si="2"/>
        <v>4.4285714285714288</v>
      </c>
      <c r="F51" s="18">
        <f t="shared" si="3"/>
        <v>25.806451612903224</v>
      </c>
      <c r="G51" s="35">
        <v>0.3</v>
      </c>
      <c r="H51" t="s">
        <v>59</v>
      </c>
      <c r="I51" s="12">
        <f t="shared" si="4"/>
        <v>8830.5788775961119</v>
      </c>
      <c r="J51" s="9">
        <f t="shared" si="5"/>
        <v>36.794078656650463</v>
      </c>
      <c r="K51" s="12">
        <f>MAX(D51/C51*$L$43,$L$31)</f>
        <v>7380.645161290322</v>
      </c>
      <c r="P51" s="7"/>
    </row>
    <row r="52" spans="1:21" x14ac:dyDescent="0.25">
      <c r="A52" t="s">
        <v>12</v>
      </c>
      <c r="B52" s="9">
        <v>40.106666666666662</v>
      </c>
      <c r="C52">
        <v>30</v>
      </c>
      <c r="D52" s="14">
        <v>25</v>
      </c>
      <c r="E52" s="11">
        <f t="shared" si="2"/>
        <v>4.2857142857142856</v>
      </c>
      <c r="F52" s="18">
        <f t="shared" si="3"/>
        <v>33.333333333333336</v>
      </c>
      <c r="G52" s="35">
        <v>0.3</v>
      </c>
      <c r="H52" t="s">
        <v>59</v>
      </c>
      <c r="I52" s="12">
        <f t="shared" si="4"/>
        <v>11406.164383561645</v>
      </c>
      <c r="J52" s="9">
        <f t="shared" si="5"/>
        <v>38.020547945205486</v>
      </c>
      <c r="K52" s="12">
        <f>MAX(D52/C52*$L$43,$L$31)</f>
        <v>9533.3333333333339</v>
      </c>
      <c r="P52" s="7"/>
    </row>
    <row r="53" spans="1:21" x14ac:dyDescent="0.25">
      <c r="A53" t="s">
        <v>13</v>
      </c>
      <c r="B53" s="9">
        <v>49.703225806451613</v>
      </c>
      <c r="C53">
        <v>31</v>
      </c>
      <c r="D53" s="14">
        <v>28</v>
      </c>
      <c r="E53" s="11">
        <f t="shared" si="2"/>
        <v>4.4285714285714288</v>
      </c>
      <c r="F53" s="18">
        <f t="shared" si="3"/>
        <v>36.129032258064512</v>
      </c>
      <c r="G53" s="35">
        <v>0.85</v>
      </c>
      <c r="H53" t="s">
        <v>60</v>
      </c>
      <c r="I53" s="12">
        <f t="shared" si="4"/>
        <v>35027.962881131243</v>
      </c>
      <c r="J53" s="9">
        <f t="shared" si="5"/>
        <v>104.24988952717632</v>
      </c>
      <c r="K53" s="12">
        <f>D53/C53*$L$30</f>
        <v>18787.096774193549</v>
      </c>
      <c r="P53" s="7"/>
    </row>
    <row r="54" spans="1:21" x14ac:dyDescent="0.25">
      <c r="A54" t="s">
        <v>14</v>
      </c>
      <c r="B54" s="9">
        <v>60.6</v>
      </c>
      <c r="C54">
        <v>30</v>
      </c>
      <c r="D54" s="14">
        <v>15</v>
      </c>
      <c r="E54" s="11">
        <f t="shared" si="2"/>
        <v>4.2857142857142856</v>
      </c>
      <c r="F54" s="18">
        <f t="shared" si="3"/>
        <v>20</v>
      </c>
      <c r="G54" s="35">
        <v>1</v>
      </c>
      <c r="H54" t="s">
        <v>60</v>
      </c>
      <c r="I54" s="12">
        <f t="shared" si="4"/>
        <v>22812.32876712329</v>
      </c>
      <c r="J54" s="9">
        <f t="shared" si="5"/>
        <v>126.7351598173516</v>
      </c>
      <c r="K54" s="12">
        <f>MAX(D54/C54*$L$43,$L$31)</f>
        <v>6920</v>
      </c>
      <c r="P54" s="7"/>
    </row>
    <row r="55" spans="1:21" x14ac:dyDescent="0.25">
      <c r="A55" t="s">
        <v>15</v>
      </c>
      <c r="B55" s="9">
        <v>66.100000000000009</v>
      </c>
      <c r="C55">
        <v>31</v>
      </c>
      <c r="D55" s="14">
        <v>15</v>
      </c>
      <c r="E55" s="11">
        <f t="shared" si="2"/>
        <v>4.4285714285714288</v>
      </c>
      <c r="F55" s="18">
        <f t="shared" si="3"/>
        <v>19.35483870967742</v>
      </c>
      <c r="G55" s="35">
        <v>1</v>
      </c>
      <c r="H55" t="s">
        <v>60</v>
      </c>
      <c r="I55" s="12">
        <f t="shared" si="4"/>
        <v>22076.447193990283</v>
      </c>
      <c r="J55" s="9">
        <f t="shared" si="5"/>
        <v>122.64692885550157</v>
      </c>
      <c r="K55" s="12">
        <f>MAX(D55/C55*$L$43,$L$31)</f>
        <v>6920</v>
      </c>
      <c r="P55" s="7"/>
    </row>
    <row r="56" spans="1:21" x14ac:dyDescent="0.25">
      <c r="A56" t="s">
        <v>16</v>
      </c>
      <c r="B56" s="9">
        <v>63.49354838709678</v>
      </c>
      <c r="C56">
        <v>31</v>
      </c>
      <c r="D56" s="14">
        <v>31</v>
      </c>
      <c r="E56" s="11">
        <f t="shared" si="2"/>
        <v>4.4285714285714288</v>
      </c>
      <c r="F56" s="18">
        <f t="shared" si="3"/>
        <v>40</v>
      </c>
      <c r="G56" s="35">
        <v>1</v>
      </c>
      <c r="H56" t="s">
        <v>60</v>
      </c>
      <c r="I56" s="12">
        <f t="shared" si="4"/>
        <v>45624.65753424658</v>
      </c>
      <c r="J56" s="9">
        <f t="shared" si="5"/>
        <v>122.64692885550157</v>
      </c>
      <c r="K56" s="12">
        <f>D56/C56*$L$30</f>
        <v>20800</v>
      </c>
      <c r="P56" s="7"/>
    </row>
    <row r="57" spans="1:21" x14ac:dyDescent="0.25">
      <c r="A57" t="s">
        <v>17</v>
      </c>
      <c r="B57" s="9">
        <v>56.9</v>
      </c>
      <c r="C57">
        <v>30</v>
      </c>
      <c r="D57" s="14">
        <v>30</v>
      </c>
      <c r="E57" s="11">
        <f t="shared" si="2"/>
        <v>4.2857142857142856</v>
      </c>
      <c r="F57" s="18">
        <f t="shared" si="3"/>
        <v>40</v>
      </c>
      <c r="G57" s="35">
        <v>0.9</v>
      </c>
      <c r="H57" t="s">
        <v>60</v>
      </c>
      <c r="I57" s="12">
        <f t="shared" si="4"/>
        <v>41062.191780821922</v>
      </c>
      <c r="J57" s="9">
        <f t="shared" si="5"/>
        <v>114.06164383561645</v>
      </c>
      <c r="K57" s="12">
        <f>D57/C57*$L$30</f>
        <v>20800</v>
      </c>
      <c r="P57" s="7"/>
    </row>
    <row r="58" spans="1:21" x14ac:dyDescent="0.25">
      <c r="A58" t="s">
        <v>18</v>
      </c>
      <c r="B58" s="9">
        <v>46.093548387096767</v>
      </c>
      <c r="C58">
        <v>31</v>
      </c>
      <c r="D58" s="14">
        <v>25</v>
      </c>
      <c r="E58" s="11">
        <f t="shared" si="2"/>
        <v>4.4285714285714288</v>
      </c>
      <c r="F58" s="18">
        <f t="shared" si="3"/>
        <v>32.258064516129032</v>
      </c>
      <c r="G58" s="35">
        <v>0.5</v>
      </c>
      <c r="H58" t="s">
        <v>59</v>
      </c>
      <c r="I58" s="12">
        <f t="shared" si="4"/>
        <v>18397.039328325234</v>
      </c>
      <c r="J58" s="9">
        <f t="shared" si="5"/>
        <v>61.323464427750785</v>
      </c>
      <c r="K58" s="12">
        <f>D58/C58*$L$43</f>
        <v>9225.8064516129034</v>
      </c>
      <c r="P58" s="7"/>
    </row>
    <row r="59" spans="1:21" x14ac:dyDescent="0.25">
      <c r="A59" t="s">
        <v>19</v>
      </c>
      <c r="B59" s="9">
        <v>35.003333333333323</v>
      </c>
      <c r="C59">
        <v>30</v>
      </c>
      <c r="D59" s="14">
        <v>20</v>
      </c>
      <c r="E59" s="11">
        <f t="shared" si="2"/>
        <v>4.2857142857142856</v>
      </c>
      <c r="F59" s="18">
        <f t="shared" si="3"/>
        <v>26.666666666666664</v>
      </c>
      <c r="G59" s="35">
        <v>0.25</v>
      </c>
      <c r="H59" t="s">
        <v>59</v>
      </c>
      <c r="I59" s="12">
        <f t="shared" si="4"/>
        <v>7604.1095890410961</v>
      </c>
      <c r="J59" s="9">
        <f t="shared" si="5"/>
        <v>31.6837899543379</v>
      </c>
      <c r="K59" s="12">
        <f>D59/C59*$L$43</f>
        <v>7626.6666666666661</v>
      </c>
      <c r="P59" s="7"/>
    </row>
    <row r="60" spans="1:21" x14ac:dyDescent="0.25">
      <c r="A60" t="s">
        <v>20</v>
      </c>
      <c r="B60" s="9">
        <v>26.506451612903223</v>
      </c>
      <c r="C60">
        <v>31</v>
      </c>
      <c r="D60" s="34">
        <v>15</v>
      </c>
      <c r="E60" s="11">
        <f t="shared" si="2"/>
        <v>4.4285714285714288</v>
      </c>
      <c r="F60" s="18">
        <f t="shared" si="3"/>
        <v>19.35483870967742</v>
      </c>
      <c r="G60" s="35">
        <v>0.25</v>
      </c>
      <c r="H60" t="s">
        <v>59</v>
      </c>
      <c r="I60" s="12">
        <f t="shared" si="4"/>
        <v>5519.1117984975708</v>
      </c>
      <c r="J60" s="9">
        <f t="shared" si="5"/>
        <v>30.661732213875393</v>
      </c>
      <c r="K60" s="12">
        <f>MAX(D60/C60*$L$43,$L$31)</f>
        <v>6920</v>
      </c>
      <c r="P60" s="7"/>
    </row>
    <row r="61" spans="1:21" ht="16.5" thickBot="1" x14ac:dyDescent="0.3">
      <c r="D61">
        <f>SUM(D49:D60)</f>
        <v>254</v>
      </c>
      <c r="I61" s="16">
        <f>SUM(I49:I60)</f>
        <v>229990.14913831197</v>
      </c>
      <c r="K61" s="16">
        <f>SUM(K49:K60)</f>
        <v>128753.54838709679</v>
      </c>
      <c r="P61" s="7"/>
    </row>
    <row r="62" spans="1:21" ht="16.5" thickTop="1" x14ac:dyDescent="0.25">
      <c r="I62" s="46"/>
      <c r="J62" s="46"/>
      <c r="K62" s="46"/>
      <c r="P62" s="7"/>
    </row>
    <row r="63" spans="1:21" x14ac:dyDescent="0.25">
      <c r="A63" s="44" t="s">
        <v>92</v>
      </c>
      <c r="P63" s="7"/>
    </row>
    <row r="64" spans="1:21" x14ac:dyDescent="0.25">
      <c r="A64" s="44" t="s">
        <v>103</v>
      </c>
      <c r="P64" s="7"/>
    </row>
    <row r="65" spans="1:16" x14ac:dyDescent="0.25">
      <c r="P65" s="7"/>
    </row>
    <row r="66" spans="1:16" x14ac:dyDescent="0.25">
      <c r="P66" s="7"/>
    </row>
    <row r="67" spans="1:16" x14ac:dyDescent="0.25">
      <c r="A67" t="s">
        <v>89</v>
      </c>
      <c r="P67" s="7"/>
    </row>
    <row r="68" spans="1:16" x14ac:dyDescent="0.25">
      <c r="B68" t="s">
        <v>91</v>
      </c>
      <c r="N68" s="7"/>
      <c r="O68" s="7"/>
      <c r="P68" s="7"/>
    </row>
    <row r="69" spans="1:16" x14ac:dyDescent="0.25">
      <c r="B69" t="s">
        <v>101</v>
      </c>
      <c r="N69" s="7"/>
      <c r="O69" s="7"/>
      <c r="P69" s="7"/>
    </row>
    <row r="70" spans="1:16" x14ac:dyDescent="0.25">
      <c r="B70" t="s">
        <v>90</v>
      </c>
      <c r="N70" s="7"/>
      <c r="O70" s="7"/>
      <c r="P70" s="7"/>
    </row>
    <row r="71" spans="1:16" x14ac:dyDescent="0.25">
      <c r="N71" s="7"/>
      <c r="O71" s="7"/>
      <c r="P71" s="7"/>
    </row>
    <row r="72" spans="1:16" x14ac:dyDescent="0.25">
      <c r="N72" s="7"/>
      <c r="O72" s="7"/>
      <c r="P72" s="7"/>
    </row>
    <row r="73" spans="1:16" x14ac:dyDescent="0.25">
      <c r="N73" s="7"/>
      <c r="O73" s="7"/>
      <c r="P73" s="7"/>
    </row>
    <row r="74" spans="1:16" x14ac:dyDescent="0.25">
      <c r="N74" s="7"/>
      <c r="O74" s="7"/>
      <c r="P74" s="7"/>
    </row>
    <row r="75" spans="1:16" x14ac:dyDescent="0.25">
      <c r="N75" s="7"/>
      <c r="O75" s="7"/>
      <c r="P75" s="7"/>
    </row>
    <row r="76" spans="1:16" x14ac:dyDescent="0.25">
      <c r="N76" s="7"/>
      <c r="O76" s="7"/>
      <c r="P76" s="7"/>
    </row>
    <row r="77" spans="1:16" x14ac:dyDescent="0.25">
      <c r="N77" s="7"/>
      <c r="O77" s="7"/>
      <c r="P77" s="7"/>
    </row>
    <row r="78" spans="1:16" x14ac:dyDescent="0.25">
      <c r="N78" s="7"/>
      <c r="O78" s="7"/>
      <c r="P78" s="7"/>
    </row>
    <row r="79" spans="1:16" x14ac:dyDescent="0.25">
      <c r="N79" s="7"/>
      <c r="O79" s="7"/>
      <c r="P79" s="7"/>
    </row>
    <row r="80" spans="1:16" x14ac:dyDescent="0.25">
      <c r="N80" s="7"/>
      <c r="O80" s="7"/>
      <c r="P80" s="7"/>
    </row>
    <row r="81" spans="12:16" x14ac:dyDescent="0.25">
      <c r="N81" s="7"/>
      <c r="O81" s="7"/>
      <c r="P81" s="7"/>
    </row>
    <row r="82" spans="12:16" x14ac:dyDescent="0.25">
      <c r="N82" s="7"/>
      <c r="O82" s="7"/>
    </row>
    <row r="83" spans="12:16" x14ac:dyDescent="0.25">
      <c r="N83" s="7"/>
      <c r="O83" s="7"/>
    </row>
    <row r="84" spans="12:16" x14ac:dyDescent="0.25">
      <c r="N84" s="7"/>
      <c r="O84" s="7"/>
    </row>
    <row r="85" spans="12:16" x14ac:dyDescent="0.25">
      <c r="N85" s="7"/>
      <c r="O85" s="7"/>
    </row>
    <row r="86" spans="12:16" x14ac:dyDescent="0.25">
      <c r="N86" s="7"/>
      <c r="O86" s="7"/>
    </row>
    <row r="87" spans="12:16" x14ac:dyDescent="0.25">
      <c r="N87" s="7"/>
      <c r="O87" s="7"/>
    </row>
    <row r="88" spans="12:16" x14ac:dyDescent="0.25">
      <c r="N88" s="7"/>
      <c r="O88" s="7"/>
    </row>
    <row r="89" spans="12:16" x14ac:dyDescent="0.25">
      <c r="L89" s="7"/>
      <c r="M89" s="7"/>
      <c r="N89" s="7"/>
      <c r="O89" s="7"/>
    </row>
    <row r="90" spans="12:16" x14ac:dyDescent="0.25">
      <c r="L90" s="7"/>
      <c r="M90" s="7"/>
      <c r="N90" s="7"/>
      <c r="O90" s="7"/>
    </row>
    <row r="91" spans="12:16" x14ac:dyDescent="0.25">
      <c r="L91" s="7"/>
      <c r="M91" s="7"/>
      <c r="N91" s="7"/>
      <c r="O91" s="7"/>
    </row>
    <row r="92" spans="12:16" x14ac:dyDescent="0.25">
      <c r="L92" s="7"/>
      <c r="M92" s="7"/>
      <c r="N92" s="7"/>
      <c r="O92" s="7"/>
    </row>
    <row r="93" spans="12:16" x14ac:dyDescent="0.25">
      <c r="L93" s="7"/>
      <c r="M93" s="7"/>
      <c r="N93" s="7"/>
      <c r="O93" s="7"/>
    </row>
    <row r="94" spans="12:16" x14ac:dyDescent="0.25">
      <c r="L94" s="7"/>
      <c r="M94" s="7"/>
      <c r="N94" s="7"/>
      <c r="O94" s="7"/>
    </row>
    <row r="95" spans="12:16" x14ac:dyDescent="0.25">
      <c r="L95" s="7"/>
      <c r="M95" s="7"/>
      <c r="N95" s="7"/>
      <c r="O95" s="7"/>
    </row>
    <row r="96" spans="12:16" x14ac:dyDescent="0.25">
      <c r="L96" s="7"/>
      <c r="M96" s="7"/>
      <c r="N96" s="7"/>
      <c r="O96" s="7"/>
    </row>
    <row r="97" spans="12:15" x14ac:dyDescent="0.25">
      <c r="L97" s="7"/>
      <c r="M97" s="7"/>
      <c r="N97" s="7"/>
      <c r="O97" s="7"/>
    </row>
    <row r="98" spans="12:15" x14ac:dyDescent="0.25">
      <c r="L98" s="7"/>
      <c r="M98" s="7"/>
      <c r="N98" s="7"/>
      <c r="O98" s="7"/>
    </row>
  </sheetData>
  <mergeCells count="2">
    <mergeCell ref="I9:M9"/>
    <mergeCell ref="A47:K4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CVA projections</vt:lpstr>
      <vt:lpstr>Staff 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Hixson</dc:creator>
  <cp:lastModifiedBy>Jonathan Butcher</cp:lastModifiedBy>
  <cp:lastPrinted>2020-05-19T15:15:02Z</cp:lastPrinted>
  <dcterms:created xsi:type="dcterms:W3CDTF">2020-03-09T15:59:16Z</dcterms:created>
  <dcterms:modified xsi:type="dcterms:W3CDTF">2023-01-10T13:40:03Z</dcterms:modified>
</cp:coreProperties>
</file>